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atkinson/Library/CloudStorage/GoogleDrive-Info@aspireproperty.co.nz/My Drive/6 - New Managements/"/>
    </mc:Choice>
  </mc:AlternateContent>
  <xr:revisionPtr revIDLastSave="0" documentId="13_ncr:1_{14D97C42-9894-C641-9BD8-E92CB48AD7E1}" xr6:coauthVersionLast="47" xr6:coauthVersionMax="47" xr10:uidLastSave="{00000000-0000-0000-0000-000000000000}"/>
  <bookViews>
    <workbookView xWindow="3680" yWindow="3580" windowWidth="33600" windowHeight="16940" activeTab="3" xr2:uid="{BE37E00F-9F52-5E40-9D2D-E7649BBBB3C4}"/>
  </bookViews>
  <sheets>
    <sheet name="Master" sheetId="1" state="hidden" r:id="rId1"/>
    <sheet name="Slide  Fill this in " sheetId="3" r:id="rId2"/>
    <sheet name="Post Election " sheetId="4" r:id="rId3"/>
    <sheet name="Summary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5" l="1"/>
  <c r="D9" i="5"/>
  <c r="G9" i="5"/>
  <c r="G7" i="5"/>
  <c r="G6" i="5"/>
  <c r="G5" i="5"/>
  <c r="E7" i="5"/>
  <c r="E6" i="5"/>
  <c r="E5" i="5"/>
  <c r="D7" i="5"/>
  <c r="D6" i="5"/>
  <c r="D5" i="5"/>
  <c r="C12" i="4"/>
  <c r="C13" i="4"/>
  <c r="C14" i="4"/>
  <c r="F27" i="4" s="1"/>
  <c r="H27" i="4" s="1"/>
  <c r="C15" i="4"/>
  <c r="C16" i="4"/>
  <c r="C17" i="4"/>
  <c r="C18" i="4"/>
  <c r="C19" i="4"/>
  <c r="C20" i="4"/>
  <c r="F15" i="4" s="1"/>
  <c r="C21" i="4"/>
  <c r="C23" i="4"/>
  <c r="C24" i="4"/>
  <c r="C25" i="4"/>
  <c r="C26" i="4"/>
  <c r="C27" i="4"/>
  <c r="F22" i="4" s="1"/>
  <c r="H22" i="4" s="1"/>
  <c r="C28" i="4"/>
  <c r="F23" i="4" s="1"/>
  <c r="H23" i="4" s="1"/>
  <c r="C29" i="4"/>
  <c r="C30" i="4"/>
  <c r="C31" i="4"/>
  <c r="F26" i="4" s="1"/>
  <c r="H26" i="4" s="1"/>
  <c r="C8" i="4"/>
  <c r="C7" i="4"/>
  <c r="C23" i="3"/>
  <c r="F18" i="4"/>
  <c r="F39" i="4"/>
  <c r="F25" i="4"/>
  <c r="H25" i="4" s="1"/>
  <c r="J25" i="4" s="1"/>
  <c r="L25" i="4" s="1"/>
  <c r="N25" i="4" s="1"/>
  <c r="E25" i="4"/>
  <c r="F20" i="4"/>
  <c r="F24" i="4"/>
  <c r="H24" i="4" s="1"/>
  <c r="J24" i="4" s="1"/>
  <c r="L24" i="4" s="1"/>
  <c r="N24" i="4" s="1"/>
  <c r="E24" i="4"/>
  <c r="E23" i="4"/>
  <c r="E22" i="4"/>
  <c r="F21" i="4"/>
  <c r="H21" i="4" s="1"/>
  <c r="J21" i="4" s="1"/>
  <c r="L21" i="4" s="1"/>
  <c r="N21" i="4" s="1"/>
  <c r="E21" i="4"/>
  <c r="E20" i="4"/>
  <c r="F19" i="4"/>
  <c r="E19" i="4"/>
  <c r="E18" i="4"/>
  <c r="F26" i="3"/>
  <c r="H26" i="3"/>
  <c r="J26" i="3" s="1"/>
  <c r="F39" i="3"/>
  <c r="F27" i="3"/>
  <c r="C26" i="3"/>
  <c r="F21" i="3" s="1"/>
  <c r="F25" i="3"/>
  <c r="E25" i="3"/>
  <c r="C25" i="3"/>
  <c r="F20" i="3" s="1"/>
  <c r="H24" i="3"/>
  <c r="J24" i="3" s="1"/>
  <c r="L24" i="3" s="1"/>
  <c r="N24" i="3" s="1"/>
  <c r="F24" i="3"/>
  <c r="E24" i="3"/>
  <c r="C24" i="3"/>
  <c r="F19" i="3" s="1"/>
  <c r="H19" i="3" s="1"/>
  <c r="J19" i="3" s="1"/>
  <c r="F23" i="3"/>
  <c r="H23" i="3" s="1"/>
  <c r="J23" i="3" s="1"/>
  <c r="L23" i="3" s="1"/>
  <c r="N23" i="3" s="1"/>
  <c r="E23" i="3"/>
  <c r="F22" i="3"/>
  <c r="E22" i="3"/>
  <c r="E21" i="3"/>
  <c r="E20" i="3"/>
  <c r="C20" i="3"/>
  <c r="F15" i="3" s="1"/>
  <c r="E19" i="3"/>
  <c r="E18" i="3"/>
  <c r="C16" i="3"/>
  <c r="C18" i="3" s="1"/>
  <c r="C16" i="1"/>
  <c r="C17" i="1" s="1"/>
  <c r="C20" i="1"/>
  <c r="F15" i="1" s="1"/>
  <c r="E18" i="1"/>
  <c r="C24" i="1"/>
  <c r="F19" i="1" s="1"/>
  <c r="E19" i="1"/>
  <c r="C25" i="1"/>
  <c r="F20" i="1" s="1"/>
  <c r="H20" i="1" s="1"/>
  <c r="J20" i="1" s="1"/>
  <c r="L20" i="1" s="1"/>
  <c r="N20" i="1" s="1"/>
  <c r="E20" i="1"/>
  <c r="C26" i="1"/>
  <c r="F21" i="1" s="1"/>
  <c r="H21" i="1" s="1"/>
  <c r="J21" i="1" s="1"/>
  <c r="L21" i="1" s="1"/>
  <c r="N21" i="1" s="1"/>
  <c r="E21" i="1"/>
  <c r="E22" i="1"/>
  <c r="F22" i="1"/>
  <c r="H22" i="1" s="1"/>
  <c r="J22" i="1" s="1"/>
  <c r="L22" i="1" s="1"/>
  <c r="E23" i="1"/>
  <c r="F23" i="1"/>
  <c r="H23" i="1" s="1"/>
  <c r="J23" i="1" s="1"/>
  <c r="L23" i="1" s="1"/>
  <c r="N23" i="1" s="1"/>
  <c r="E24" i="1"/>
  <c r="F24" i="1"/>
  <c r="H24" i="1" s="1"/>
  <c r="E25" i="1"/>
  <c r="F25" i="1"/>
  <c r="H25" i="1" s="1"/>
  <c r="J25" i="1" s="1"/>
  <c r="L25" i="1" s="1"/>
  <c r="N25" i="1" s="1"/>
  <c r="F27" i="1"/>
  <c r="H27" i="1" s="1"/>
  <c r="F39" i="1"/>
  <c r="F40" i="1" s="1"/>
  <c r="F45" i="1"/>
  <c r="H45" i="1"/>
  <c r="J45" i="1"/>
  <c r="L45" i="1"/>
  <c r="N45" i="1"/>
  <c r="P24" i="4" l="1"/>
  <c r="F40" i="4"/>
  <c r="F43" i="4" s="1"/>
  <c r="F30" i="4"/>
  <c r="H15" i="4"/>
  <c r="H20" i="4"/>
  <c r="J20" i="4" s="1"/>
  <c r="L20" i="4" s="1"/>
  <c r="N20" i="4" s="1"/>
  <c r="H18" i="4"/>
  <c r="J18" i="4" s="1"/>
  <c r="L18" i="4" s="1"/>
  <c r="N18" i="4" s="1"/>
  <c r="J26" i="4"/>
  <c r="L26" i="4" s="1"/>
  <c r="N26" i="4" s="1"/>
  <c r="P26" i="4"/>
  <c r="J23" i="4"/>
  <c r="L23" i="4" s="1"/>
  <c r="N23" i="4" s="1"/>
  <c r="P21" i="4"/>
  <c r="P25" i="4"/>
  <c r="H39" i="4"/>
  <c r="J22" i="4"/>
  <c r="L22" i="4" s="1"/>
  <c r="N22" i="4" s="1"/>
  <c r="H19" i="4"/>
  <c r="J19" i="4" s="1"/>
  <c r="L19" i="4" s="1"/>
  <c r="N19" i="4" s="1"/>
  <c r="J27" i="4"/>
  <c r="F28" i="4"/>
  <c r="F31" i="4" s="1"/>
  <c r="H28" i="4"/>
  <c r="L26" i="3"/>
  <c r="N26" i="3" s="1"/>
  <c r="P26" i="3"/>
  <c r="F18" i="3"/>
  <c r="F30" i="3" s="1"/>
  <c r="L19" i="3"/>
  <c r="N19" i="3" s="1"/>
  <c r="P19" i="3"/>
  <c r="H21" i="3"/>
  <c r="J21" i="3" s="1"/>
  <c r="L21" i="3" s="1"/>
  <c r="N21" i="3" s="1"/>
  <c r="P21" i="3"/>
  <c r="H15" i="3"/>
  <c r="H20" i="3"/>
  <c r="J20" i="3" s="1"/>
  <c r="L20" i="3" s="1"/>
  <c r="N20" i="3" s="1"/>
  <c r="P20" i="3"/>
  <c r="P24" i="3"/>
  <c r="F40" i="3"/>
  <c r="F43" i="3" s="1"/>
  <c r="H22" i="3"/>
  <c r="J22" i="3" s="1"/>
  <c r="L22" i="3" s="1"/>
  <c r="N22" i="3" s="1"/>
  <c r="H25" i="3"/>
  <c r="J25" i="3" s="1"/>
  <c r="L25" i="3" s="1"/>
  <c r="P23" i="3"/>
  <c r="F28" i="3"/>
  <c r="H27" i="3"/>
  <c r="C17" i="3"/>
  <c r="H28" i="1"/>
  <c r="J27" i="1"/>
  <c r="L27" i="1" s="1"/>
  <c r="L28" i="1" s="1"/>
  <c r="C23" i="1"/>
  <c r="F18" i="1" s="1"/>
  <c r="H18" i="1" s="1"/>
  <c r="J18" i="1" s="1"/>
  <c r="L18" i="1" s="1"/>
  <c r="N18" i="1" s="1"/>
  <c r="P18" i="1"/>
  <c r="H15" i="1"/>
  <c r="F28" i="1"/>
  <c r="P23" i="1"/>
  <c r="C18" i="1"/>
  <c r="P21" i="1"/>
  <c r="N22" i="1"/>
  <c r="P22" i="1"/>
  <c r="P20" i="1"/>
  <c r="J24" i="1"/>
  <c r="L24" i="1" s="1"/>
  <c r="N24" i="1" s="1"/>
  <c r="F43" i="1"/>
  <c r="H39" i="1"/>
  <c r="P25" i="1"/>
  <c r="H19" i="1"/>
  <c r="J19" i="1" s="1"/>
  <c r="L19" i="1" s="1"/>
  <c r="N19" i="1" s="1"/>
  <c r="H18" i="3" l="1"/>
  <c r="J18" i="3" s="1"/>
  <c r="L18" i="3" s="1"/>
  <c r="N18" i="3" s="1"/>
  <c r="H40" i="4"/>
  <c r="H43" i="4"/>
  <c r="J39" i="4"/>
  <c r="P18" i="4"/>
  <c r="P22" i="4"/>
  <c r="P20" i="4"/>
  <c r="F33" i="4"/>
  <c r="H16" i="4"/>
  <c r="H30" i="4" s="1"/>
  <c r="P23" i="4"/>
  <c r="J28" i="4"/>
  <c r="L27" i="4"/>
  <c r="P19" i="4"/>
  <c r="J28" i="1"/>
  <c r="P18" i="3"/>
  <c r="J27" i="3"/>
  <c r="H28" i="3"/>
  <c r="H16" i="3"/>
  <c r="J15" i="3" s="1"/>
  <c r="H30" i="3"/>
  <c r="P25" i="3"/>
  <c r="P22" i="3"/>
  <c r="F31" i="3"/>
  <c r="H39" i="3"/>
  <c r="H16" i="1"/>
  <c r="J15" i="1" s="1"/>
  <c r="N27" i="1"/>
  <c r="F30" i="1"/>
  <c r="F31" i="1"/>
  <c r="F33" i="1" s="1"/>
  <c r="F35" i="1" s="1"/>
  <c r="P24" i="1"/>
  <c r="P19" i="1"/>
  <c r="H40" i="1"/>
  <c r="F35" i="4" l="1"/>
  <c r="J15" i="4"/>
  <c r="H31" i="4"/>
  <c r="N27" i="4"/>
  <c r="L28" i="4"/>
  <c r="P27" i="4"/>
  <c r="J40" i="4"/>
  <c r="J43" i="4" s="1"/>
  <c r="H31" i="3"/>
  <c r="H33" i="3" s="1"/>
  <c r="H35" i="3" s="1"/>
  <c r="J16" i="3"/>
  <c r="L15" i="3" s="1"/>
  <c r="F33" i="3"/>
  <c r="H40" i="3"/>
  <c r="J39" i="3" s="1"/>
  <c r="L27" i="3"/>
  <c r="J28" i="3"/>
  <c r="H31" i="1"/>
  <c r="H33" i="1" s="1"/>
  <c r="N28" i="1"/>
  <c r="P28" i="1" s="1"/>
  <c r="P27" i="1"/>
  <c r="H30" i="1"/>
  <c r="J16" i="1"/>
  <c r="L15" i="1" s="1"/>
  <c r="L16" i="1" s="1"/>
  <c r="N15" i="1" s="1"/>
  <c r="J39" i="1"/>
  <c r="H43" i="1"/>
  <c r="L39" i="4" l="1"/>
  <c r="L40" i="4"/>
  <c r="N39" i="4" s="1"/>
  <c r="N28" i="4"/>
  <c r="P28" i="4" s="1"/>
  <c r="H33" i="4"/>
  <c r="J16" i="4"/>
  <c r="L15" i="4"/>
  <c r="J30" i="1"/>
  <c r="J40" i="3"/>
  <c r="J43" i="3" s="1"/>
  <c r="F35" i="3"/>
  <c r="J31" i="3"/>
  <c r="L28" i="3"/>
  <c r="N27" i="3"/>
  <c r="P27" i="3"/>
  <c r="H43" i="3"/>
  <c r="L16" i="3"/>
  <c r="L30" i="3" s="1"/>
  <c r="J30" i="3"/>
  <c r="P15" i="1"/>
  <c r="N30" i="1"/>
  <c r="L30" i="1"/>
  <c r="J31" i="1"/>
  <c r="J33" i="1" s="1"/>
  <c r="J35" i="1" s="1"/>
  <c r="L31" i="1"/>
  <c r="L33" i="1" s="1"/>
  <c r="L35" i="1" s="1"/>
  <c r="H35" i="1"/>
  <c r="J40" i="1"/>
  <c r="J43" i="1" s="1"/>
  <c r="N16" i="1"/>
  <c r="P16" i="1" s="1"/>
  <c r="N40" i="4" l="1"/>
  <c r="P39" i="4" s="1"/>
  <c r="J31" i="4"/>
  <c r="H35" i="4"/>
  <c r="L16" i="4"/>
  <c r="J30" i="4"/>
  <c r="P40" i="4"/>
  <c r="L39" i="3"/>
  <c r="J33" i="3"/>
  <c r="N15" i="3"/>
  <c r="L31" i="3"/>
  <c r="L33" i="3" s="1"/>
  <c r="L35" i="3" s="1"/>
  <c r="N28" i="3"/>
  <c r="P28" i="3" s="1"/>
  <c r="P30" i="1"/>
  <c r="N31" i="1"/>
  <c r="N33" i="1" s="1"/>
  <c r="L39" i="1"/>
  <c r="L31" i="4" l="1"/>
  <c r="L33" i="4" s="1"/>
  <c r="L35" i="4" s="1"/>
  <c r="L30" i="4"/>
  <c r="N15" i="4"/>
  <c r="J33" i="4"/>
  <c r="N16" i="3"/>
  <c r="P16" i="3" s="1"/>
  <c r="P15" i="3"/>
  <c r="J35" i="3"/>
  <c r="L40" i="3"/>
  <c r="L43" i="3" s="1"/>
  <c r="P31" i="1"/>
  <c r="L40" i="1"/>
  <c r="L43" i="1" s="1"/>
  <c r="P33" i="1"/>
  <c r="N35" i="1"/>
  <c r="P35" i="1" s="1"/>
  <c r="J35" i="4" l="1"/>
  <c r="N16" i="4"/>
  <c r="P16" i="4" s="1"/>
  <c r="N31" i="4"/>
  <c r="P15" i="4"/>
  <c r="P30" i="4" s="1"/>
  <c r="P43" i="1"/>
  <c r="P45" i="1"/>
  <c r="N30" i="3"/>
  <c r="N39" i="3"/>
  <c r="P30" i="3"/>
  <c r="N31" i="3"/>
  <c r="N39" i="1"/>
  <c r="N40" i="1" s="1"/>
  <c r="P40" i="1" s="1"/>
  <c r="N40" i="3" l="1"/>
  <c r="P40" i="3" s="1"/>
  <c r="P39" i="3"/>
  <c r="N33" i="4"/>
  <c r="P31" i="4"/>
  <c r="N30" i="4"/>
  <c r="P44" i="1"/>
  <c r="P46" i="1"/>
  <c r="N33" i="3"/>
  <c r="P31" i="3"/>
  <c r="N35" i="4" l="1"/>
  <c r="P35" i="4" s="1"/>
  <c r="P33" i="4"/>
  <c r="N35" i="3"/>
  <c r="P35" i="3" s="1"/>
  <c r="P33" i="3"/>
  <c r="P51" i="3" l="1"/>
  <c r="P49" i="3"/>
  <c r="P50" i="3" l="1"/>
  <c r="P52" i="3"/>
</calcChain>
</file>

<file path=xl/sharedStrings.xml><?xml version="1.0" encoding="utf-8"?>
<sst xmlns="http://schemas.openxmlformats.org/spreadsheetml/2006/main" count="178" uniqueCount="70">
  <si>
    <t>Exit costs</t>
  </si>
  <si>
    <t>"tax" rate</t>
  </si>
  <si>
    <t>Brightline Tax / Exit Costs</t>
  </si>
  <si>
    <t>5 year tax on CG</t>
  </si>
  <si>
    <t>% change</t>
  </si>
  <si>
    <t>Property Value</t>
  </si>
  <si>
    <t>Capital Market Increase/Decrease</t>
  </si>
  <si>
    <t xml:space="preserve">Tax to pay </t>
  </si>
  <si>
    <t>Interest Cost</t>
  </si>
  <si>
    <t>Other expenses</t>
  </si>
  <si>
    <t>Body Corp</t>
  </si>
  <si>
    <t>Council Rates</t>
  </si>
  <si>
    <t>Provisional Sum for maintenance</t>
  </si>
  <si>
    <t>Water (inc fixed charges assume all water collected</t>
  </si>
  <si>
    <t xml:space="preserve">Inspections </t>
  </si>
  <si>
    <t xml:space="preserve">Advertsising and Credit (2 year tenancies) </t>
  </si>
  <si>
    <t xml:space="preserve">Letting Fee (assume 2 year tenancies) </t>
  </si>
  <si>
    <t>Management Fee</t>
  </si>
  <si>
    <t>Less Expenses</t>
  </si>
  <si>
    <t xml:space="preserve">List your outgoings (YE summary from Aspire) </t>
  </si>
  <si>
    <t>Rent Increase</t>
  </si>
  <si>
    <t>Estimated Annual Rent Increase</t>
  </si>
  <si>
    <t>Rent Income</t>
  </si>
  <si>
    <t xml:space="preserve">Rent Per Annum </t>
  </si>
  <si>
    <t xml:space="preserve">Rent Per week </t>
  </si>
  <si>
    <t>Tax Deduction Rate (25% for half year)</t>
  </si>
  <si>
    <t>LVR @ market</t>
  </si>
  <si>
    <t>Ye 31 3 2026</t>
  </si>
  <si>
    <t>Ye 31 3 2025</t>
  </si>
  <si>
    <t>Ye 31 3 2024</t>
  </si>
  <si>
    <t>Ye 31 3 2023</t>
  </si>
  <si>
    <t>Ye 31 3 2022</t>
  </si>
  <si>
    <t>Tax Year</t>
  </si>
  <si>
    <t>LVR @ purchase</t>
  </si>
  <si>
    <t>5 Year Totals</t>
  </si>
  <si>
    <t xml:space="preserve">Equity </t>
  </si>
  <si>
    <t>Average Int rate</t>
  </si>
  <si>
    <t>Total of loans</t>
  </si>
  <si>
    <t>Estimated Annual Capital Increases</t>
  </si>
  <si>
    <t xml:space="preserve">General Election </t>
  </si>
  <si>
    <t xml:space="preserve">Estimated Value of the Property </t>
  </si>
  <si>
    <t>Purchase Price</t>
  </si>
  <si>
    <t>Date Purchased</t>
  </si>
  <si>
    <t xml:space="preserve">Mike Atkinson Tax Liability Calculator </t>
  </si>
  <si>
    <t xml:space="preserve">DISCLAIMER </t>
  </si>
  <si>
    <t xml:space="preserve">This worksheet is indicitive only, you should contact an accountant for further advice. Aspire Property Management and Mike Atkinson </t>
  </si>
  <si>
    <t>are not authorised to provide financial advice and this sheet is provided as a guide only</t>
  </si>
  <si>
    <t xml:space="preserve">Green Cells to be completed </t>
  </si>
  <si>
    <t>Yellow Cells auto populate</t>
  </si>
  <si>
    <t>These accounts will auto populate based on</t>
  </si>
  <si>
    <t>your information in the left hand box</t>
  </si>
  <si>
    <t>Other</t>
  </si>
  <si>
    <t xml:space="preserve">Profit / Loss (Old Rules) </t>
  </si>
  <si>
    <t xml:space="preserve">Cash Position </t>
  </si>
  <si>
    <t xml:space="preserve">per week </t>
  </si>
  <si>
    <t>Summary</t>
  </si>
  <si>
    <t xml:space="preserve">Gain after new tax (capital gain less tax) </t>
  </si>
  <si>
    <t xml:space="preserve">Profit / Loss ( @IRD) </t>
  </si>
  <si>
    <t xml:space="preserve">Removed deduction (New law) </t>
  </si>
  <si>
    <t>change</t>
  </si>
  <si>
    <t xml:space="preserve">Advertising and Credit (2 year tenancies) </t>
  </si>
  <si>
    <t>Tax Deduction Rate (25% for half year 2022)</t>
  </si>
  <si>
    <t>Complete DATA on Tab 1</t>
  </si>
  <si>
    <t>Summary of Tax</t>
  </si>
  <si>
    <t>Current</t>
  </si>
  <si>
    <t>Proposed</t>
  </si>
  <si>
    <t>YE 24</t>
  </si>
  <si>
    <t>YE 25</t>
  </si>
  <si>
    <t>YE 26</t>
  </si>
  <si>
    <t>Saving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</si>
</sst>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92">
    <xf numFmtId="0" fontId="0" fillId="0" borderId="0" xfId="0"/>
    <xf numFmtId="0" fontId="0" fillId="4" borderId="0" xfId="0" applyFill="1"/>
    <xf numFmtId="0" fontId="2" fillId="2" borderId="2" xfId="1" applyBorder="1"/>
    <xf numFmtId="0" fontId="0" fillId="0" borderId="3" xfId="0" applyBorder="1"/>
    <xf numFmtId="0" fontId="2" fillId="2" borderId="4" xfId="1" applyBorder="1"/>
    <xf numFmtId="0" fontId="0" fillId="0" borderId="5" xfId="0" applyBorder="1"/>
    <xf numFmtId="0" fontId="3" fillId="3" borderId="4" xfId="2" applyBorder="1"/>
    <xf numFmtId="0" fontId="0" fillId="0" borderId="4" xfId="0" applyBorder="1"/>
    <xf numFmtId="9" fontId="2" fillId="2" borderId="4" xfId="1" applyNumberFormat="1" applyBorder="1"/>
    <xf numFmtId="10" fontId="3" fillId="3" borderId="4" xfId="2" applyNumberFormat="1" applyBorder="1"/>
    <xf numFmtId="2" fontId="3" fillId="3" borderId="4" xfId="2" applyNumberFormat="1" applyBorder="1"/>
    <xf numFmtId="10" fontId="2" fillId="2" borderId="4" xfId="1" applyNumberFormat="1" applyBorder="1"/>
    <xf numFmtId="14" fontId="2" fillId="2" borderId="4" xfId="1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0" xfId="1"/>
    <xf numFmtId="0" fontId="3" fillId="3" borderId="0" xfId="2"/>
    <xf numFmtId="0" fontId="1" fillId="0" borderId="1" xfId="2" applyFont="1" applyFill="1" applyBorder="1"/>
    <xf numFmtId="164" fontId="1" fillId="0" borderId="1" xfId="2" applyNumberFormat="1" applyFont="1" applyFill="1" applyBorder="1"/>
    <xf numFmtId="2" fontId="1" fillId="0" borderId="1" xfId="2" applyNumberFormat="1" applyFont="1" applyFill="1" applyBorder="1"/>
    <xf numFmtId="164" fontId="1" fillId="4" borderId="1" xfId="2" applyNumberFormat="1" applyFont="1" applyFill="1" applyBorder="1"/>
    <xf numFmtId="0" fontId="0" fillId="0" borderId="10" xfId="0" applyBorder="1"/>
    <xf numFmtId="0" fontId="0" fillId="0" borderId="11" xfId="0" applyBorder="1"/>
    <xf numFmtId="0" fontId="0" fillId="4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3" xfId="2" applyFill="1" applyBorder="1"/>
    <xf numFmtId="0" fontId="3" fillId="0" borderId="0" xfId="2" applyFill="1" applyBorder="1"/>
    <xf numFmtId="0" fontId="3" fillId="4" borderId="0" xfId="2" applyFill="1" applyBorder="1"/>
    <xf numFmtId="0" fontId="3" fillId="0" borderId="14" xfId="2" applyFill="1" applyBorder="1"/>
    <xf numFmtId="0" fontId="1" fillId="0" borderId="13" xfId="2" applyFont="1" applyFill="1" applyBorder="1"/>
    <xf numFmtId="0" fontId="1" fillId="0" borderId="0" xfId="2" applyFont="1" applyFill="1" applyBorder="1"/>
    <xf numFmtId="0" fontId="1" fillId="4" borderId="0" xfId="2" applyFont="1" applyFill="1" applyBorder="1"/>
    <xf numFmtId="10" fontId="1" fillId="0" borderId="0" xfId="2" applyNumberFormat="1" applyFont="1" applyFill="1" applyBorder="1"/>
    <xf numFmtId="9" fontId="1" fillId="0" borderId="0" xfId="2" applyNumberFormat="1" applyFont="1" applyFill="1" applyBorder="1"/>
    <xf numFmtId="2" fontId="1" fillId="0" borderId="0" xfId="2" applyNumberFormat="1" applyFont="1" applyFill="1" applyBorder="1"/>
    <xf numFmtId="2" fontId="1" fillId="4" borderId="0" xfId="2" applyNumberFormat="1" applyFont="1" applyFill="1" applyBorder="1"/>
    <xf numFmtId="164" fontId="1" fillId="0" borderId="0" xfId="2" applyNumberFormat="1" applyFont="1" applyFill="1" applyBorder="1"/>
    <xf numFmtId="0" fontId="1" fillId="0" borderId="15" xfId="2" applyFont="1" applyFill="1" applyBorder="1"/>
    <xf numFmtId="164" fontId="1" fillId="4" borderId="0" xfId="2" applyNumberFormat="1" applyFont="1" applyFill="1" applyBorder="1"/>
    <xf numFmtId="0" fontId="0" fillId="0" borderId="16" xfId="0" applyBorder="1"/>
    <xf numFmtId="0" fontId="3" fillId="3" borderId="10" xfId="2" applyBorder="1"/>
    <xf numFmtId="0" fontId="3" fillId="3" borderId="13" xfId="2" applyBorder="1"/>
    <xf numFmtId="0" fontId="3" fillId="0" borderId="4" xfId="2" applyFill="1" applyBorder="1"/>
    <xf numFmtId="0" fontId="4" fillId="0" borderId="13" xfId="0" applyFont="1" applyBorder="1"/>
    <xf numFmtId="2" fontId="4" fillId="0" borderId="0" xfId="0" applyNumberFormat="1" applyFont="1"/>
    <xf numFmtId="0" fontId="4" fillId="0" borderId="0" xfId="0" applyFont="1"/>
    <xf numFmtId="0" fontId="4" fillId="4" borderId="0" xfId="0" applyFont="1" applyFill="1"/>
    <xf numFmtId="0" fontId="1" fillId="4" borderId="1" xfId="2" applyFont="1" applyFill="1" applyBorder="1"/>
    <xf numFmtId="0" fontId="1" fillId="0" borderId="0" xfId="2" applyFont="1" applyFill="1" applyBorder="1" applyAlignment="1">
      <alignment horizontal="right"/>
    </xf>
    <xf numFmtId="0" fontId="1" fillId="4" borderId="0" xfId="2" applyFont="1" applyFill="1" applyBorder="1" applyAlignment="1">
      <alignment horizontal="right"/>
    </xf>
    <xf numFmtId="0" fontId="1" fillId="0" borderId="13" xfId="2" applyFont="1" applyFill="1" applyBorder="1" applyAlignment="1">
      <alignment horizontal="left"/>
    </xf>
    <xf numFmtId="0" fontId="3" fillId="0" borderId="12" xfId="2" applyFill="1" applyBorder="1"/>
    <xf numFmtId="164" fontId="1" fillId="0" borderId="13" xfId="2" applyNumberFormat="1" applyFont="1" applyFill="1" applyBorder="1"/>
    <xf numFmtId="10" fontId="1" fillId="0" borderId="13" xfId="2" applyNumberFormat="1" applyFont="1" applyFill="1" applyBorder="1"/>
    <xf numFmtId="2" fontId="4" fillId="0" borderId="13" xfId="2" applyNumberFormat="1" applyFont="1" applyFill="1" applyBorder="1"/>
    <xf numFmtId="164" fontId="1" fillId="0" borderId="15" xfId="2" applyNumberFormat="1" applyFont="1" applyFill="1" applyBorder="1"/>
    <xf numFmtId="0" fontId="1" fillId="0" borderId="14" xfId="2" applyFont="1" applyFill="1" applyBorder="1"/>
    <xf numFmtId="10" fontId="3" fillId="0" borderId="0" xfId="2" applyNumberFormat="1" applyFill="1" applyBorder="1"/>
    <xf numFmtId="164" fontId="2" fillId="2" borderId="4" xfId="1" applyNumberFormat="1" applyBorder="1"/>
    <xf numFmtId="164" fontId="3" fillId="3" borderId="4" xfId="2" applyNumberFormat="1" applyBorder="1"/>
    <xf numFmtId="164" fontId="1" fillId="0" borderId="14" xfId="2" applyNumberFormat="1" applyFont="1" applyFill="1" applyBorder="1"/>
    <xf numFmtId="164" fontId="4" fillId="0" borderId="0" xfId="0" applyNumberFormat="1" applyFont="1"/>
    <xf numFmtId="164" fontId="4" fillId="4" borderId="0" xfId="0" applyNumberFormat="1" applyFont="1" applyFill="1"/>
    <xf numFmtId="164" fontId="4" fillId="0" borderId="14" xfId="0" applyNumberFormat="1" applyFont="1" applyBorder="1"/>
    <xf numFmtId="164" fontId="0" fillId="0" borderId="0" xfId="0" applyNumberFormat="1"/>
    <xf numFmtId="164" fontId="0" fillId="4" borderId="0" xfId="0" applyNumberFormat="1" applyFill="1"/>
    <xf numFmtId="164" fontId="0" fillId="0" borderId="14" xfId="0" applyNumberFormat="1" applyBorder="1"/>
    <xf numFmtId="164" fontId="1" fillId="0" borderId="16" xfId="2" applyNumberFormat="1" applyFont="1" applyFill="1" applyBorder="1"/>
    <xf numFmtId="14" fontId="2" fillId="5" borderId="4" xfId="1" applyNumberFormat="1" applyFill="1" applyBorder="1"/>
    <xf numFmtId="164" fontId="2" fillId="5" borderId="4" xfId="1" applyNumberFormat="1" applyFill="1" applyBorder="1"/>
    <xf numFmtId="10" fontId="2" fillId="5" borderId="4" xfId="1" applyNumberFormat="1" applyFill="1" applyBorder="1"/>
    <xf numFmtId="164" fontId="2" fillId="0" borderId="4" xfId="1" applyNumberFormat="1" applyFill="1" applyBorder="1"/>
    <xf numFmtId="164" fontId="2" fillId="5" borderId="17" xfId="1" applyNumberFormat="1" applyFill="1" applyBorder="1"/>
    <xf numFmtId="0" fontId="0" fillId="6" borderId="18" xfId="0" applyFill="1" applyBorder="1"/>
    <xf numFmtId="0" fontId="0" fillId="6" borderId="0" xfId="0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0" fontId="0" fillId="6" borderId="22" xfId="0" applyFill="1" applyBorder="1" applyAlignment="1">
      <alignment horizontal="left"/>
    </xf>
    <xf numFmtId="0" fontId="0" fillId="6" borderId="23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164" fontId="0" fillId="6" borderId="0" xfId="0" applyNumberFormat="1" applyFill="1" applyBorder="1" applyAlignment="1">
      <alignment horizontal="left"/>
    </xf>
    <xf numFmtId="164" fontId="0" fillId="6" borderId="4" xfId="0" applyNumberFormat="1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164" fontId="5" fillId="6" borderId="2" xfId="0" applyNumberFormat="1" applyFont="1" applyFill="1" applyBorder="1" applyAlignment="1">
      <alignment horizontal="left"/>
    </xf>
    <xf numFmtId="164" fontId="0" fillId="6" borderId="20" xfId="0" applyNumberFormat="1" applyFill="1" applyBorder="1" applyAlignment="1">
      <alignment horizontal="left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427C9-9893-5349-8D75-368F3D07115A}">
  <dimension ref="B2:R46"/>
  <sheetViews>
    <sheetView topLeftCell="A2" workbookViewId="0">
      <selection activeCell="E32" sqref="E32"/>
    </sheetView>
  </sheetViews>
  <sheetFormatPr baseColWidth="10" defaultRowHeight="16" x14ac:dyDescent="0.2"/>
  <cols>
    <col min="2" max="2" width="43.83203125" customWidth="1"/>
    <col min="3" max="3" width="16.1640625" customWidth="1"/>
    <col min="5" max="5" width="36.83203125" customWidth="1"/>
    <col min="6" max="6" width="12.6640625" bestFit="1" customWidth="1"/>
    <col min="7" max="7" width="2.83203125" customWidth="1"/>
    <col min="8" max="8" width="15.1640625" bestFit="1" customWidth="1"/>
    <col min="9" max="9" width="2.83203125" customWidth="1"/>
    <col min="10" max="10" width="12.6640625" bestFit="1" customWidth="1"/>
    <col min="11" max="11" width="2.83203125" customWidth="1"/>
    <col min="12" max="12" width="12.6640625" bestFit="1" customWidth="1"/>
    <col min="13" max="13" width="2.83203125" customWidth="1"/>
    <col min="14" max="14" width="12.6640625" bestFit="1" customWidth="1"/>
    <col min="15" max="15" width="2.83203125" customWidth="1"/>
    <col min="16" max="16" width="11.83203125" bestFit="1" customWidth="1"/>
    <col min="18" max="18" width="23.83203125" customWidth="1"/>
  </cols>
  <sheetData>
    <row r="2" spans="2:18" x14ac:dyDescent="0.2">
      <c r="B2" s="17" t="s">
        <v>47</v>
      </c>
      <c r="C2" s="17"/>
      <c r="E2" t="s">
        <v>44</v>
      </c>
    </row>
    <row r="3" spans="2:18" x14ac:dyDescent="0.2">
      <c r="B3" s="18" t="s">
        <v>48</v>
      </c>
      <c r="C3" s="18"/>
    </row>
    <row r="4" spans="2:18" ht="17" thickBot="1" x14ac:dyDescent="0.25">
      <c r="E4" t="s">
        <v>45</v>
      </c>
    </row>
    <row r="5" spans="2:18" x14ac:dyDescent="0.2">
      <c r="B5" s="16" t="s">
        <v>43</v>
      </c>
      <c r="C5" s="15"/>
      <c r="E5" t="s">
        <v>46</v>
      </c>
    </row>
    <row r="6" spans="2:18" x14ac:dyDescent="0.2">
      <c r="B6" s="14"/>
      <c r="C6" s="13"/>
    </row>
    <row r="7" spans="2:18" x14ac:dyDescent="0.2">
      <c r="B7" s="5" t="s">
        <v>42</v>
      </c>
      <c r="C7" s="12">
        <v>43891</v>
      </c>
      <c r="E7" s="44" t="s">
        <v>49</v>
      </c>
      <c r="F7" s="24"/>
      <c r="G7" s="24"/>
      <c r="H7" s="24"/>
      <c r="I7" s="25"/>
      <c r="J7" s="24"/>
      <c r="K7" s="24"/>
      <c r="L7" s="24"/>
      <c r="M7" s="24"/>
      <c r="N7" s="24"/>
      <c r="O7" s="24"/>
      <c r="P7" s="24"/>
      <c r="Q7" s="24"/>
      <c r="R7" s="26"/>
    </row>
    <row r="8" spans="2:18" x14ac:dyDescent="0.2">
      <c r="B8" s="5" t="s">
        <v>41</v>
      </c>
      <c r="C8" s="4">
        <v>978500</v>
      </c>
      <c r="E8" s="45" t="s">
        <v>50</v>
      </c>
      <c r="I8" s="1"/>
      <c r="R8" s="28"/>
    </row>
    <row r="9" spans="2:18" x14ac:dyDescent="0.2">
      <c r="B9" s="5"/>
      <c r="C9" s="4"/>
      <c r="E9" s="27"/>
      <c r="I9" s="1"/>
      <c r="R9" s="28"/>
    </row>
    <row r="10" spans="2:18" x14ac:dyDescent="0.2">
      <c r="B10" s="5"/>
      <c r="C10" s="46"/>
      <c r="E10" s="29"/>
      <c r="F10" s="30"/>
      <c r="G10" s="30"/>
      <c r="H10" s="30"/>
      <c r="I10" s="31"/>
      <c r="J10" s="30"/>
      <c r="K10" s="30"/>
      <c r="L10" s="30"/>
      <c r="M10" s="30"/>
      <c r="N10" s="30"/>
      <c r="O10" s="30"/>
      <c r="P10" s="30"/>
      <c r="Q10" s="30"/>
      <c r="R10" s="32"/>
    </row>
    <row r="11" spans="2:18" x14ac:dyDescent="0.2">
      <c r="B11" s="5"/>
      <c r="C11" s="7"/>
      <c r="E11" s="33"/>
      <c r="F11" s="34"/>
      <c r="G11" s="34"/>
      <c r="H11" s="1" t="s">
        <v>39</v>
      </c>
      <c r="I11" s="35"/>
      <c r="J11" s="34"/>
      <c r="K11" s="34"/>
      <c r="L11" s="34"/>
      <c r="M11" s="34"/>
      <c r="N11" s="34"/>
      <c r="O11" s="34"/>
      <c r="P11" s="34" t="s">
        <v>34</v>
      </c>
      <c r="Q11" s="34"/>
      <c r="R11" s="32"/>
    </row>
    <row r="12" spans="2:18" x14ac:dyDescent="0.2">
      <c r="B12" s="5" t="s">
        <v>40</v>
      </c>
      <c r="C12" s="4">
        <v>1125000</v>
      </c>
      <c r="E12" s="54" t="s">
        <v>32</v>
      </c>
      <c r="F12" s="52" t="s">
        <v>31</v>
      </c>
      <c r="G12" s="52"/>
      <c r="H12" s="52" t="s">
        <v>30</v>
      </c>
      <c r="I12" s="53"/>
      <c r="J12" s="52" t="s">
        <v>29</v>
      </c>
      <c r="K12" s="52"/>
      <c r="L12" s="52" t="s">
        <v>28</v>
      </c>
      <c r="M12" s="52"/>
      <c r="N12" s="52" t="s">
        <v>27</v>
      </c>
      <c r="O12" s="52"/>
      <c r="P12" s="34"/>
      <c r="Q12" s="34"/>
      <c r="R12" s="32"/>
    </row>
    <row r="13" spans="2:18" x14ac:dyDescent="0.2">
      <c r="B13" s="5" t="s">
        <v>38</v>
      </c>
      <c r="C13" s="11">
        <v>0.05</v>
      </c>
      <c r="E13" s="33" t="s">
        <v>25</v>
      </c>
      <c r="F13" s="36">
        <v>0.125</v>
      </c>
      <c r="G13" s="34"/>
      <c r="H13" s="37">
        <v>0.25</v>
      </c>
      <c r="I13" s="35"/>
      <c r="J13" s="37">
        <v>0.5</v>
      </c>
      <c r="K13" s="34"/>
      <c r="L13" s="37">
        <v>0.75</v>
      </c>
      <c r="M13" s="34"/>
      <c r="N13" s="37">
        <v>1</v>
      </c>
      <c r="O13" s="34"/>
      <c r="P13" s="34"/>
      <c r="Q13" s="34"/>
      <c r="R13" s="32"/>
    </row>
    <row r="14" spans="2:18" x14ac:dyDescent="0.2">
      <c r="B14" s="5" t="s">
        <v>37</v>
      </c>
      <c r="C14" s="4">
        <v>755000</v>
      </c>
      <c r="E14" s="33"/>
      <c r="F14" s="34"/>
      <c r="G14" s="34"/>
      <c r="H14" s="34"/>
      <c r="I14" s="35"/>
      <c r="J14" s="34"/>
      <c r="K14" s="34"/>
      <c r="L14" s="34"/>
      <c r="M14" s="34"/>
      <c r="N14" s="34"/>
      <c r="O14" s="34"/>
      <c r="P14" s="34"/>
      <c r="Q14" s="34"/>
      <c r="R14" s="32"/>
    </row>
    <row r="15" spans="2:18" x14ac:dyDescent="0.2">
      <c r="B15" s="5" t="s">
        <v>36</v>
      </c>
      <c r="C15" s="11">
        <v>3.5000000000000003E-2</v>
      </c>
      <c r="E15" s="33" t="s">
        <v>22</v>
      </c>
      <c r="F15" s="38">
        <f>C20</f>
        <v>36920</v>
      </c>
      <c r="G15" s="38"/>
      <c r="H15" s="38">
        <f>F15+F16</f>
        <v>36920</v>
      </c>
      <c r="I15" s="39"/>
      <c r="J15" s="38">
        <f>H15+H16</f>
        <v>38027.599999999999</v>
      </c>
      <c r="K15" s="38"/>
      <c r="L15" s="38">
        <f>J15+J16</f>
        <v>39168.428</v>
      </c>
      <c r="M15" s="38"/>
      <c r="N15" s="38">
        <f>L15+L16</f>
        <v>40343.480839999997</v>
      </c>
      <c r="O15" s="34"/>
      <c r="P15" s="38">
        <f>SUM(F15:N15)</f>
        <v>191379.50883999999</v>
      </c>
      <c r="Q15" s="34"/>
      <c r="R15" s="32"/>
    </row>
    <row r="16" spans="2:18" x14ac:dyDescent="0.2">
      <c r="B16" s="5" t="s">
        <v>35</v>
      </c>
      <c r="C16" s="10">
        <f>C8-C14</f>
        <v>223500</v>
      </c>
      <c r="E16" s="33" t="s">
        <v>20</v>
      </c>
      <c r="F16" s="38"/>
      <c r="G16" s="38"/>
      <c r="H16" s="38">
        <f>H15*$C$21</f>
        <v>1107.5999999999999</v>
      </c>
      <c r="I16" s="39"/>
      <c r="J16" s="38">
        <f>J15*$C$21</f>
        <v>1140.828</v>
      </c>
      <c r="K16" s="38"/>
      <c r="L16" s="38">
        <f>L15*$C$21</f>
        <v>1175.0528400000001</v>
      </c>
      <c r="M16" s="38"/>
      <c r="N16" s="38">
        <f>N15*$C$21</f>
        <v>1210.3044251999997</v>
      </c>
      <c r="O16" s="34"/>
      <c r="P16" s="38">
        <f>SUM(F16:N16)</f>
        <v>4633.7852652000001</v>
      </c>
      <c r="Q16" s="34"/>
      <c r="R16" s="32"/>
    </row>
    <row r="17" spans="2:18" x14ac:dyDescent="0.2">
      <c r="B17" s="5" t="s">
        <v>33</v>
      </c>
      <c r="C17" s="9">
        <f>C16/C8</f>
        <v>0.22841083290751149</v>
      </c>
      <c r="E17" s="33" t="s">
        <v>18</v>
      </c>
      <c r="F17" s="34"/>
      <c r="G17" s="34"/>
      <c r="H17" s="34"/>
      <c r="I17" s="35"/>
      <c r="J17" s="34"/>
      <c r="K17" s="34"/>
      <c r="L17" s="34"/>
      <c r="M17" s="34"/>
      <c r="N17" s="34"/>
      <c r="O17" s="34"/>
      <c r="P17" s="34"/>
      <c r="Q17" s="34"/>
      <c r="R17" s="32"/>
    </row>
    <row r="18" spans="2:18" x14ac:dyDescent="0.2">
      <c r="B18" s="5" t="s">
        <v>26</v>
      </c>
      <c r="C18" s="9">
        <f>C16/C12</f>
        <v>0.19866666666666666</v>
      </c>
      <c r="E18" s="33" t="str">
        <f t="shared" ref="E18:F25" si="0">B23</f>
        <v>Management Fee</v>
      </c>
      <c r="F18" s="34">
        <f t="shared" si="0"/>
        <v>2757.924</v>
      </c>
      <c r="G18" s="34"/>
      <c r="H18" s="34">
        <f t="shared" ref="H18:H25" si="1">F18</f>
        <v>2757.924</v>
      </c>
      <c r="I18" s="35"/>
      <c r="J18" s="34">
        <f t="shared" ref="J18:J25" si="2">H18</f>
        <v>2757.924</v>
      </c>
      <c r="K18" s="34"/>
      <c r="L18" s="34">
        <f t="shared" ref="L18:L25" si="3">J18</f>
        <v>2757.924</v>
      </c>
      <c r="M18" s="34"/>
      <c r="N18" s="34">
        <f t="shared" ref="N18:N25" si="4">L18</f>
        <v>2757.924</v>
      </c>
      <c r="O18" s="34"/>
      <c r="P18" s="38">
        <f t="shared" ref="P18:P25" si="5">SUM(F18:N18)</f>
        <v>13789.619999999999</v>
      </c>
      <c r="Q18" s="34"/>
      <c r="R18" s="32"/>
    </row>
    <row r="19" spans="2:18" x14ac:dyDescent="0.2">
      <c r="B19" s="5" t="s">
        <v>24</v>
      </c>
      <c r="C19" s="4">
        <v>710</v>
      </c>
      <c r="E19" s="33" t="str">
        <f t="shared" si="0"/>
        <v xml:space="preserve">Letting Fee (assume 2 year tenancies) </v>
      </c>
      <c r="F19" s="34">
        <f t="shared" si="0"/>
        <v>408.24999999999994</v>
      </c>
      <c r="G19" s="34"/>
      <c r="H19" s="34">
        <f t="shared" si="1"/>
        <v>408.24999999999994</v>
      </c>
      <c r="I19" s="35"/>
      <c r="J19" s="34">
        <f t="shared" si="2"/>
        <v>408.24999999999994</v>
      </c>
      <c r="K19" s="34"/>
      <c r="L19" s="34">
        <f t="shared" si="3"/>
        <v>408.24999999999994</v>
      </c>
      <c r="M19" s="34"/>
      <c r="N19" s="34">
        <f t="shared" si="4"/>
        <v>408.24999999999994</v>
      </c>
      <c r="O19" s="34"/>
      <c r="P19" s="38">
        <f t="shared" si="5"/>
        <v>2041.2499999999998</v>
      </c>
      <c r="Q19" s="34"/>
      <c r="R19" s="32"/>
    </row>
    <row r="20" spans="2:18" x14ac:dyDescent="0.2">
      <c r="B20" s="5" t="s">
        <v>23</v>
      </c>
      <c r="C20" s="6">
        <f>C19*52</f>
        <v>36920</v>
      </c>
      <c r="E20" s="33" t="str">
        <f t="shared" si="0"/>
        <v xml:space="preserve">Advertsising and Credit (2 year tenancies) </v>
      </c>
      <c r="F20" s="34">
        <f t="shared" si="0"/>
        <v>84</v>
      </c>
      <c r="G20" s="34"/>
      <c r="H20" s="34">
        <f t="shared" si="1"/>
        <v>84</v>
      </c>
      <c r="I20" s="35"/>
      <c r="J20" s="34">
        <f t="shared" si="2"/>
        <v>84</v>
      </c>
      <c r="K20" s="34"/>
      <c r="L20" s="34">
        <f t="shared" si="3"/>
        <v>84</v>
      </c>
      <c r="M20" s="34"/>
      <c r="N20" s="34">
        <f t="shared" si="4"/>
        <v>84</v>
      </c>
      <c r="O20" s="34"/>
      <c r="P20" s="38">
        <f t="shared" si="5"/>
        <v>420</v>
      </c>
      <c r="Q20" s="34"/>
      <c r="R20" s="32"/>
    </row>
    <row r="21" spans="2:18" x14ac:dyDescent="0.2">
      <c r="B21" s="5" t="s">
        <v>21</v>
      </c>
      <c r="C21" s="8">
        <v>0.03</v>
      </c>
      <c r="E21" s="33" t="str">
        <f t="shared" si="0"/>
        <v xml:space="preserve">Inspections </v>
      </c>
      <c r="F21" s="34">
        <f t="shared" si="0"/>
        <v>161</v>
      </c>
      <c r="G21" s="34"/>
      <c r="H21" s="34">
        <f t="shared" si="1"/>
        <v>161</v>
      </c>
      <c r="I21" s="35"/>
      <c r="J21" s="34">
        <f t="shared" si="2"/>
        <v>161</v>
      </c>
      <c r="K21" s="34"/>
      <c r="L21" s="34">
        <f t="shared" si="3"/>
        <v>161</v>
      </c>
      <c r="M21" s="34"/>
      <c r="N21" s="34">
        <f t="shared" si="4"/>
        <v>161</v>
      </c>
      <c r="O21" s="34"/>
      <c r="P21" s="38">
        <f t="shared" si="5"/>
        <v>805</v>
      </c>
      <c r="Q21" s="34"/>
      <c r="R21" s="32"/>
    </row>
    <row r="22" spans="2:18" x14ac:dyDescent="0.2">
      <c r="B22" s="5" t="s">
        <v>19</v>
      </c>
      <c r="C22" s="7"/>
      <c r="E22" s="33" t="str">
        <f t="shared" si="0"/>
        <v>Water (inc fixed charges assume all water collected</v>
      </c>
      <c r="F22" s="34">
        <f t="shared" si="0"/>
        <v>210</v>
      </c>
      <c r="G22" s="34"/>
      <c r="H22" s="34">
        <f t="shared" si="1"/>
        <v>210</v>
      </c>
      <c r="I22" s="35"/>
      <c r="J22" s="34">
        <f t="shared" si="2"/>
        <v>210</v>
      </c>
      <c r="K22" s="34"/>
      <c r="L22" s="34">
        <f t="shared" si="3"/>
        <v>210</v>
      </c>
      <c r="M22" s="34"/>
      <c r="N22" s="34">
        <f t="shared" si="4"/>
        <v>210</v>
      </c>
      <c r="O22" s="34"/>
      <c r="P22" s="38">
        <f t="shared" si="5"/>
        <v>1050</v>
      </c>
      <c r="Q22" s="34"/>
      <c r="R22" s="32"/>
    </row>
    <row r="23" spans="2:18" x14ac:dyDescent="0.2">
      <c r="B23" s="5" t="s">
        <v>17</v>
      </c>
      <c r="C23" s="6">
        <f>C20*0.0747</f>
        <v>2757.924</v>
      </c>
      <c r="E23" s="33" t="str">
        <f t="shared" si="0"/>
        <v>Provisional Sum for maintenance</v>
      </c>
      <c r="F23" s="34">
        <f t="shared" si="0"/>
        <v>1900</v>
      </c>
      <c r="G23" s="34"/>
      <c r="H23" s="34">
        <f t="shared" si="1"/>
        <v>1900</v>
      </c>
      <c r="I23" s="35"/>
      <c r="J23" s="34">
        <f t="shared" si="2"/>
        <v>1900</v>
      </c>
      <c r="K23" s="34"/>
      <c r="L23" s="34">
        <f t="shared" si="3"/>
        <v>1900</v>
      </c>
      <c r="M23" s="34"/>
      <c r="N23" s="34">
        <f t="shared" si="4"/>
        <v>1900</v>
      </c>
      <c r="O23" s="34"/>
      <c r="P23" s="38">
        <f t="shared" si="5"/>
        <v>9500</v>
      </c>
      <c r="Q23" s="34"/>
      <c r="R23" s="32"/>
    </row>
    <row r="24" spans="2:18" x14ac:dyDescent="0.2">
      <c r="B24" s="5" t="s">
        <v>16</v>
      </c>
      <c r="C24" s="6">
        <f>(C19/2)*1.15</f>
        <v>408.24999999999994</v>
      </c>
      <c r="E24" s="33" t="str">
        <f t="shared" si="0"/>
        <v>Council Rates</v>
      </c>
      <c r="F24" s="34">
        <f t="shared" si="0"/>
        <v>1800</v>
      </c>
      <c r="G24" s="34"/>
      <c r="H24" s="34">
        <f t="shared" si="1"/>
        <v>1800</v>
      </c>
      <c r="I24" s="35"/>
      <c r="J24" s="34">
        <f t="shared" si="2"/>
        <v>1800</v>
      </c>
      <c r="K24" s="34"/>
      <c r="L24" s="34">
        <f t="shared" si="3"/>
        <v>1800</v>
      </c>
      <c r="M24" s="34"/>
      <c r="N24" s="34">
        <f t="shared" si="4"/>
        <v>1800</v>
      </c>
      <c r="O24" s="34"/>
      <c r="P24" s="38">
        <f t="shared" si="5"/>
        <v>9000</v>
      </c>
      <c r="Q24" s="34"/>
      <c r="R24" s="32"/>
    </row>
    <row r="25" spans="2:18" x14ac:dyDescent="0.2">
      <c r="B25" s="5" t="s">
        <v>15</v>
      </c>
      <c r="C25" s="6">
        <f>(99+34.5+34.5)/2</f>
        <v>84</v>
      </c>
      <c r="E25" s="33" t="str">
        <f t="shared" si="0"/>
        <v>Body Corp</v>
      </c>
      <c r="F25" s="34">
        <f t="shared" si="0"/>
        <v>5000</v>
      </c>
      <c r="G25" s="34"/>
      <c r="H25" s="34">
        <f t="shared" si="1"/>
        <v>5000</v>
      </c>
      <c r="I25" s="35"/>
      <c r="J25" s="34">
        <f t="shared" si="2"/>
        <v>5000</v>
      </c>
      <c r="K25" s="34"/>
      <c r="L25" s="34">
        <f t="shared" si="3"/>
        <v>5000</v>
      </c>
      <c r="M25" s="34"/>
      <c r="N25" s="34">
        <f t="shared" si="4"/>
        <v>5000</v>
      </c>
      <c r="O25" s="34"/>
      <c r="P25" s="38">
        <f t="shared" si="5"/>
        <v>25000</v>
      </c>
      <c r="Q25" s="34"/>
      <c r="R25" s="32"/>
    </row>
    <row r="26" spans="2:18" x14ac:dyDescent="0.2">
      <c r="B26" s="5" t="s">
        <v>14</v>
      </c>
      <c r="C26" s="6">
        <f>40.25*4</f>
        <v>161</v>
      </c>
      <c r="E26" s="33" t="s">
        <v>51</v>
      </c>
      <c r="F26" s="34"/>
      <c r="G26" s="34"/>
      <c r="H26" s="34"/>
      <c r="I26" s="35"/>
      <c r="J26" s="34"/>
      <c r="K26" s="34"/>
      <c r="L26" s="34"/>
      <c r="M26" s="34"/>
      <c r="N26" s="34"/>
      <c r="O26" s="34"/>
      <c r="P26" s="38"/>
      <c r="Q26" s="34"/>
      <c r="R26" s="32"/>
    </row>
    <row r="27" spans="2:18" x14ac:dyDescent="0.2">
      <c r="B27" s="5" t="s">
        <v>13</v>
      </c>
      <c r="C27" s="6">
        <v>210</v>
      </c>
      <c r="E27" s="33" t="s">
        <v>8</v>
      </c>
      <c r="F27" s="34">
        <f>C14*C15</f>
        <v>26425.000000000004</v>
      </c>
      <c r="G27" s="34"/>
      <c r="H27" s="34">
        <f>F27</f>
        <v>26425.000000000004</v>
      </c>
      <c r="I27" s="35"/>
      <c r="J27" s="34">
        <f>H27</f>
        <v>26425.000000000004</v>
      </c>
      <c r="K27" s="34"/>
      <c r="L27" s="34">
        <f>J27</f>
        <v>26425.000000000004</v>
      </c>
      <c r="M27" s="34"/>
      <c r="N27" s="34">
        <f>L27</f>
        <v>26425.000000000004</v>
      </c>
      <c r="O27" s="34"/>
      <c r="P27" s="38">
        <f>SUM(F27:N27)</f>
        <v>132125.00000000003</v>
      </c>
      <c r="Q27" s="34"/>
      <c r="R27" s="32"/>
    </row>
    <row r="28" spans="2:18" x14ac:dyDescent="0.2">
      <c r="B28" s="5" t="s">
        <v>12</v>
      </c>
      <c r="C28" s="6">
        <v>1900</v>
      </c>
      <c r="E28" s="33" t="s">
        <v>58</v>
      </c>
      <c r="F28" s="34">
        <f>-(F27*F13)</f>
        <v>-3303.1250000000005</v>
      </c>
      <c r="G28" s="34"/>
      <c r="H28" s="34">
        <f>-(H27*H13)</f>
        <v>-6606.2500000000009</v>
      </c>
      <c r="I28" s="35"/>
      <c r="J28" s="34">
        <f>-(J27*J13)</f>
        <v>-13212.500000000002</v>
      </c>
      <c r="K28" s="34"/>
      <c r="L28" s="34">
        <f>-(L27*L13)</f>
        <v>-19818.750000000004</v>
      </c>
      <c r="M28" s="34"/>
      <c r="N28" s="34">
        <f>-(N27*N13)</f>
        <v>-26425.000000000004</v>
      </c>
      <c r="O28" s="34"/>
      <c r="P28" s="38">
        <f>SUM(F28:N28)</f>
        <v>-69365.625000000015</v>
      </c>
      <c r="Q28" s="34"/>
      <c r="R28" s="32"/>
    </row>
    <row r="29" spans="2:18" x14ac:dyDescent="0.2">
      <c r="B29" s="5" t="s">
        <v>11</v>
      </c>
      <c r="C29" s="4">
        <v>1800</v>
      </c>
      <c r="E29" s="33"/>
      <c r="F29" s="34"/>
      <c r="G29" s="34"/>
      <c r="H29" s="34"/>
      <c r="I29" s="35"/>
      <c r="J29" s="34"/>
      <c r="K29" s="34"/>
      <c r="L29" s="34"/>
      <c r="M29" s="34"/>
      <c r="N29" s="34"/>
      <c r="O29" s="34"/>
      <c r="P29" s="38"/>
      <c r="Q29" s="34"/>
      <c r="R29" s="32"/>
    </row>
    <row r="30" spans="2:18" x14ac:dyDescent="0.2">
      <c r="B30" s="5" t="s">
        <v>10</v>
      </c>
      <c r="C30" s="4">
        <v>5000</v>
      </c>
      <c r="E30" s="47" t="s">
        <v>52</v>
      </c>
      <c r="F30" s="48">
        <f>SUM(F15:F16)-SUM(F18:F27)</f>
        <v>-1826.1739999999991</v>
      </c>
      <c r="G30" s="49"/>
      <c r="H30" s="48">
        <f>SUM(H15:H16)-SUM(H18:H27)</f>
        <v>-718.57400000000052</v>
      </c>
      <c r="I30" s="50"/>
      <c r="J30" s="48">
        <f>SUM(J15:J16)-SUM(J18:J27)</f>
        <v>422.25400000000081</v>
      </c>
      <c r="K30" s="49"/>
      <c r="L30" s="48">
        <f>SUM(L15:L16)-SUM(L18:L27)</f>
        <v>1597.3068399999975</v>
      </c>
      <c r="M30" s="49"/>
      <c r="N30" s="48">
        <f>SUM(N15:N16)-SUM(N18:N27)</f>
        <v>2807.6112651999938</v>
      </c>
      <c r="O30" s="49"/>
      <c r="P30" s="48">
        <f>SUM(P15:P16)-SUM(P18:P27)</f>
        <v>2282.4241051999561</v>
      </c>
      <c r="Q30" s="34"/>
      <c r="R30" s="32"/>
    </row>
    <row r="31" spans="2:18" ht="17" thickBot="1" x14ac:dyDescent="0.25">
      <c r="B31" s="3" t="s">
        <v>9</v>
      </c>
      <c r="C31" s="2"/>
      <c r="E31" s="33" t="s">
        <v>57</v>
      </c>
      <c r="F31" s="38">
        <f>F15+F16-SUM(F18:F27)-F28</f>
        <v>1476.9510000000014</v>
      </c>
      <c r="G31" s="34"/>
      <c r="H31" s="34">
        <f>H15+H16-SUM(H18:H27)-H28</f>
        <v>5887.6760000000004</v>
      </c>
      <c r="I31" s="35"/>
      <c r="J31" s="34">
        <f>J15+J16-SUM(J18:J27)-J28</f>
        <v>13634.754000000003</v>
      </c>
      <c r="K31" s="34"/>
      <c r="L31" s="34">
        <f>L15+L16-SUM(L18:L27)-L28</f>
        <v>21416.056840000001</v>
      </c>
      <c r="M31" s="34"/>
      <c r="N31" s="34">
        <f>N15+N16-SUM(N18:N27)-N28</f>
        <v>29232.611265199997</v>
      </c>
      <c r="O31" s="34"/>
      <c r="P31" s="38">
        <f>SUM(F31:N31)</f>
        <v>71648.0491052</v>
      </c>
      <c r="Q31" s="34"/>
      <c r="R31" s="32"/>
    </row>
    <row r="32" spans="2:18" x14ac:dyDescent="0.2">
      <c r="E32" s="27"/>
      <c r="I32" s="1"/>
      <c r="R32" s="32"/>
    </row>
    <row r="33" spans="5:18" x14ac:dyDescent="0.2">
      <c r="E33" s="33" t="s">
        <v>7</v>
      </c>
      <c r="F33" s="40">
        <f>F31*0.28</f>
        <v>413.54628000000042</v>
      </c>
      <c r="G33" s="34"/>
      <c r="H33" s="40">
        <f>H31*0.28</f>
        <v>1648.5492800000002</v>
      </c>
      <c r="I33" s="35"/>
      <c r="J33" s="40">
        <f>J31*0.28</f>
        <v>3817.7311200000013</v>
      </c>
      <c r="K33" s="34"/>
      <c r="L33" s="40">
        <f>L31*0.28</f>
        <v>5996.495915200001</v>
      </c>
      <c r="M33" s="34"/>
      <c r="N33" s="40">
        <f>N31*0.28</f>
        <v>8185.1311542559997</v>
      </c>
      <c r="O33" s="34"/>
      <c r="P33" s="38">
        <f>SUM(F33:N33)</f>
        <v>20061.453749456003</v>
      </c>
      <c r="Q33" s="34"/>
      <c r="R33" s="32"/>
    </row>
    <row r="34" spans="5:18" x14ac:dyDescent="0.2">
      <c r="E34" s="33"/>
      <c r="F34" s="34"/>
      <c r="G34" s="34"/>
      <c r="H34" s="34"/>
      <c r="I34" s="35"/>
      <c r="J34" s="34"/>
      <c r="K34" s="34"/>
      <c r="L34" s="34"/>
      <c r="M34" s="34"/>
      <c r="N34" s="34"/>
      <c r="O34" s="34"/>
      <c r="P34" s="38"/>
      <c r="Q34" s="34"/>
      <c r="R34" s="32"/>
    </row>
    <row r="35" spans="5:18" x14ac:dyDescent="0.2">
      <c r="E35" s="33" t="s">
        <v>53</v>
      </c>
      <c r="F35" s="40">
        <f>SUM(F15:F16)-SUM(F18:F25)-F27-F33</f>
        <v>-2239.7202800000032</v>
      </c>
      <c r="G35" s="34"/>
      <c r="H35" s="40">
        <f>SUM(H15:H16)-SUM(H18:H25)-H27-H33</f>
        <v>-2367.1232800000043</v>
      </c>
      <c r="I35" s="35"/>
      <c r="J35" s="40">
        <f>SUM(J15:J16)-SUM(J18:J25)-J27-J33</f>
        <v>-3395.4771200000041</v>
      </c>
      <c r="K35" s="34"/>
      <c r="L35" s="40">
        <f>SUM(L15:L16)-SUM(L18:L25)-L27-L33</f>
        <v>-4399.1890752000072</v>
      </c>
      <c r="M35" s="34"/>
      <c r="N35" s="40">
        <f>SUM(N15:N16)-SUM(N18:N25)-N27-N33</f>
        <v>-5377.5198890560096</v>
      </c>
      <c r="O35" s="34"/>
      <c r="P35" s="38">
        <f>SUM(F35:N35)</f>
        <v>-17779.029644256028</v>
      </c>
      <c r="Q35" s="34"/>
      <c r="R35" s="32"/>
    </row>
    <row r="36" spans="5:18" x14ac:dyDescent="0.2">
      <c r="E36" s="33"/>
      <c r="F36" s="34"/>
      <c r="G36" s="34"/>
      <c r="H36" s="34"/>
      <c r="I36" s="35"/>
      <c r="J36" s="34"/>
      <c r="K36" s="34"/>
      <c r="L36" s="34"/>
      <c r="M36" s="34"/>
      <c r="N36" s="34"/>
      <c r="O36" s="34"/>
      <c r="R36" s="32"/>
    </row>
    <row r="37" spans="5:18" x14ac:dyDescent="0.2">
      <c r="E37" s="33"/>
      <c r="F37" s="34"/>
      <c r="G37" s="34"/>
      <c r="H37" s="34"/>
      <c r="I37" s="35"/>
      <c r="J37" s="34"/>
      <c r="K37" s="34"/>
      <c r="L37" s="34"/>
      <c r="M37" s="34"/>
      <c r="N37" s="34"/>
      <c r="O37" s="34"/>
      <c r="P37" s="38"/>
      <c r="Q37" s="34"/>
      <c r="R37" s="32"/>
    </row>
    <row r="38" spans="5:18" x14ac:dyDescent="0.2">
      <c r="E38" s="33" t="s">
        <v>6</v>
      </c>
      <c r="F38" s="34"/>
      <c r="G38" s="34"/>
      <c r="H38" s="34"/>
      <c r="I38" s="35"/>
      <c r="J38" s="34"/>
      <c r="K38" s="34"/>
      <c r="L38" s="34"/>
      <c r="M38" s="34"/>
      <c r="N38" s="34"/>
      <c r="O38" s="34"/>
      <c r="P38" s="38"/>
      <c r="Q38" s="34"/>
      <c r="R38" s="32"/>
    </row>
    <row r="39" spans="5:18" x14ac:dyDescent="0.2">
      <c r="E39" s="41" t="s">
        <v>5</v>
      </c>
      <c r="F39" s="20">
        <f>C12</f>
        <v>1125000</v>
      </c>
      <c r="G39" s="20"/>
      <c r="H39" s="20">
        <f>F39+F40</f>
        <v>1181250</v>
      </c>
      <c r="I39" s="22"/>
      <c r="J39" s="20">
        <f>H39+H40</f>
        <v>1240312.5</v>
      </c>
      <c r="K39" s="20"/>
      <c r="L39" s="20">
        <f>J39+J40</f>
        <v>1302328.125</v>
      </c>
      <c r="M39" s="20"/>
      <c r="N39" s="20">
        <f>L39+L40</f>
        <v>1367444.53125</v>
      </c>
      <c r="O39" s="19"/>
      <c r="P39" s="21"/>
      <c r="Q39" s="34"/>
      <c r="R39" s="32"/>
    </row>
    <row r="40" spans="5:18" x14ac:dyDescent="0.2">
      <c r="E40" s="33" t="s">
        <v>4</v>
      </c>
      <c r="F40" s="40">
        <f>F39*$C$13</f>
        <v>56250</v>
      </c>
      <c r="G40" s="40"/>
      <c r="H40" s="40">
        <f>H39*$C$13</f>
        <v>59062.5</v>
      </c>
      <c r="I40" s="42"/>
      <c r="J40" s="40">
        <f>J39*$C$13</f>
        <v>62015.625</v>
      </c>
      <c r="K40" s="40"/>
      <c r="L40" s="40">
        <f>L39*$C$13</f>
        <v>65116.40625</v>
      </c>
      <c r="M40" s="40"/>
      <c r="N40" s="40">
        <f>N39*$C$13</f>
        <v>68372.2265625</v>
      </c>
      <c r="O40" s="34"/>
      <c r="P40" s="38">
        <f>SUM(F40:N40)</f>
        <v>310816.7578125</v>
      </c>
      <c r="Q40" s="34"/>
      <c r="R40" s="32"/>
    </row>
    <row r="41" spans="5:18" x14ac:dyDescent="0.2">
      <c r="E41" s="33"/>
      <c r="F41" s="34"/>
      <c r="G41" s="34"/>
      <c r="H41" s="34"/>
      <c r="I41" s="35"/>
      <c r="J41" s="34"/>
      <c r="K41" s="34"/>
      <c r="L41" s="34"/>
      <c r="M41" s="34"/>
      <c r="N41" s="34"/>
      <c r="O41" s="34"/>
      <c r="P41" s="34"/>
      <c r="Q41" s="34"/>
      <c r="R41" s="32"/>
    </row>
    <row r="42" spans="5:18" x14ac:dyDescent="0.2">
      <c r="E42" s="33"/>
      <c r="F42" s="34"/>
      <c r="G42" s="34"/>
      <c r="H42" s="34"/>
      <c r="I42" s="35"/>
      <c r="J42" s="34"/>
      <c r="K42" s="34"/>
      <c r="L42" s="34"/>
      <c r="M42" s="34"/>
      <c r="N42" s="34"/>
      <c r="O42" s="34"/>
      <c r="P42" s="23" t="s">
        <v>55</v>
      </c>
      <c r="Q42" s="24"/>
      <c r="R42" s="55"/>
    </row>
    <row r="43" spans="5:18" x14ac:dyDescent="0.2">
      <c r="E43" s="33" t="s">
        <v>2</v>
      </c>
      <c r="F43" s="40">
        <f>((F39+F40)-$C$8)*0.28</f>
        <v>56770.000000000007</v>
      </c>
      <c r="G43" s="34"/>
      <c r="H43" s="40">
        <f>((H39+H40)-$C$8)*0.28</f>
        <v>73307.5</v>
      </c>
      <c r="I43" s="35"/>
      <c r="J43" s="40">
        <f>((J39+J40)-$C$8)*0.28</f>
        <v>90671.875000000015</v>
      </c>
      <c r="K43" s="34"/>
      <c r="L43" s="40">
        <f>((L39+L40)-$C$8)*0.28</f>
        <v>108904.46875000001</v>
      </c>
      <c r="M43" s="34"/>
      <c r="N43" s="40">
        <v>0</v>
      </c>
      <c r="O43" s="34"/>
      <c r="P43" s="56">
        <f>P35*-1</f>
        <v>17779.029644256028</v>
      </c>
      <c r="Q43" s="34" t="s">
        <v>3</v>
      </c>
      <c r="R43" s="32"/>
    </row>
    <row r="44" spans="5:18" x14ac:dyDescent="0.2">
      <c r="E44" s="33"/>
      <c r="F44" s="34"/>
      <c r="G44" s="34"/>
      <c r="H44" s="34"/>
      <c r="I44" s="35"/>
      <c r="J44" s="34"/>
      <c r="K44" s="34"/>
      <c r="L44" s="34"/>
      <c r="M44" s="34"/>
      <c r="N44" s="34"/>
      <c r="O44" s="34"/>
      <c r="P44" s="57">
        <f>P43/P40</f>
        <v>5.7201000902857423E-2</v>
      </c>
      <c r="Q44" s="34" t="s">
        <v>1</v>
      </c>
      <c r="R44" s="32"/>
    </row>
    <row r="45" spans="5:18" x14ac:dyDescent="0.2">
      <c r="E45" s="33" t="s">
        <v>0</v>
      </c>
      <c r="F45" s="40">
        <f>SUM(F49:F54)</f>
        <v>0</v>
      </c>
      <c r="G45" s="34"/>
      <c r="H45" s="40">
        <f>SUM(H49:H54)</f>
        <v>0</v>
      </c>
      <c r="I45" s="35"/>
      <c r="J45" s="40">
        <f>SUM(J49:J54)</f>
        <v>0</v>
      </c>
      <c r="K45" s="34"/>
      <c r="L45" s="40">
        <f>SUM(L49:L54)</f>
        <v>0</v>
      </c>
      <c r="M45" s="34"/>
      <c r="N45" s="40">
        <f>SUM(N49:N54)</f>
        <v>0</v>
      </c>
      <c r="O45" s="34"/>
      <c r="P45" s="58">
        <f>P35/(52*5)</f>
        <v>-68.38088324713857</v>
      </c>
      <c r="Q45" s="34" t="s">
        <v>54</v>
      </c>
      <c r="R45" s="32"/>
    </row>
    <row r="46" spans="5:18" x14ac:dyDescent="0.2">
      <c r="E46" s="41"/>
      <c r="F46" s="20"/>
      <c r="G46" s="19"/>
      <c r="H46" s="20"/>
      <c r="I46" s="51"/>
      <c r="J46" s="20"/>
      <c r="K46" s="19"/>
      <c r="L46" s="20"/>
      <c r="M46" s="19"/>
      <c r="N46" s="20"/>
      <c r="O46" s="19"/>
      <c r="P46" s="59">
        <f>P40-P43</f>
        <v>293037.72816824395</v>
      </c>
      <c r="Q46" s="19" t="s">
        <v>56</v>
      </c>
      <c r="R46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D0935-B732-8445-A754-AFCC98531DE5}">
  <dimension ref="B2:R52"/>
  <sheetViews>
    <sheetView topLeftCell="A20" workbookViewId="0">
      <selection activeCell="Q47" sqref="Q47"/>
    </sheetView>
  </sheetViews>
  <sheetFormatPr baseColWidth="10" defaultRowHeight="16" x14ac:dyDescent="0.2"/>
  <cols>
    <col min="2" max="2" width="43.83203125" customWidth="1"/>
    <col min="3" max="3" width="16.1640625" customWidth="1"/>
    <col min="5" max="5" width="36.83203125" customWidth="1"/>
    <col min="6" max="6" width="12.83203125" bestFit="1" customWidth="1"/>
    <col min="7" max="7" width="2.83203125" customWidth="1"/>
    <col min="8" max="8" width="15.33203125" bestFit="1" customWidth="1"/>
    <col min="9" max="9" width="2.83203125" customWidth="1"/>
    <col min="10" max="10" width="12.83203125" bestFit="1" customWidth="1"/>
    <col min="11" max="11" width="2.83203125" customWidth="1"/>
    <col min="12" max="12" width="12.83203125" bestFit="1" customWidth="1"/>
    <col min="13" max="13" width="2.83203125" customWidth="1"/>
    <col min="14" max="14" width="12.83203125" bestFit="1" customWidth="1"/>
    <col min="15" max="15" width="2.83203125" customWidth="1"/>
    <col min="16" max="16" width="12.6640625" bestFit="1" customWidth="1"/>
    <col min="18" max="18" width="23.83203125" customWidth="1"/>
  </cols>
  <sheetData>
    <row r="2" spans="2:18" x14ac:dyDescent="0.2">
      <c r="B2" s="17" t="s">
        <v>47</v>
      </c>
      <c r="C2" s="17"/>
      <c r="E2" t="s">
        <v>44</v>
      </c>
    </row>
    <row r="3" spans="2:18" x14ac:dyDescent="0.2">
      <c r="B3" s="18" t="s">
        <v>48</v>
      </c>
      <c r="C3" s="18"/>
    </row>
    <row r="4" spans="2:18" ht="17" thickBot="1" x14ac:dyDescent="0.25">
      <c r="E4" t="s">
        <v>45</v>
      </c>
    </row>
    <row r="5" spans="2:18" x14ac:dyDescent="0.2">
      <c r="B5" s="16" t="s">
        <v>43</v>
      </c>
      <c r="C5" s="15"/>
      <c r="E5" t="s">
        <v>46</v>
      </c>
    </row>
    <row r="6" spans="2:18" x14ac:dyDescent="0.2">
      <c r="B6" s="14"/>
      <c r="C6" s="13"/>
    </row>
    <row r="7" spans="2:18" x14ac:dyDescent="0.2">
      <c r="B7" s="5" t="s">
        <v>42</v>
      </c>
      <c r="C7" s="12">
        <v>43891</v>
      </c>
      <c r="E7" s="44" t="s">
        <v>49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6"/>
    </row>
    <row r="8" spans="2:18" x14ac:dyDescent="0.2">
      <c r="B8" s="5" t="s">
        <v>41</v>
      </c>
      <c r="C8" s="62">
        <v>978500</v>
      </c>
      <c r="E8" s="45" t="s">
        <v>50</v>
      </c>
      <c r="P8" s="28"/>
    </row>
    <row r="9" spans="2:18" x14ac:dyDescent="0.2">
      <c r="B9" s="5"/>
      <c r="C9" s="4"/>
      <c r="E9" s="27"/>
      <c r="P9" s="28"/>
    </row>
    <row r="10" spans="2:18" x14ac:dyDescent="0.2">
      <c r="B10" s="5"/>
      <c r="C10" s="46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2"/>
      <c r="Q10" s="30"/>
      <c r="R10" s="30"/>
    </row>
    <row r="11" spans="2:18" x14ac:dyDescent="0.2">
      <c r="B11" s="5"/>
      <c r="C11" s="7"/>
      <c r="E11" s="33"/>
      <c r="F11" s="34"/>
      <c r="G11" s="34"/>
      <c r="H11" s="1" t="s">
        <v>39</v>
      </c>
      <c r="I11" s="35"/>
      <c r="J11" s="34"/>
      <c r="K11" s="34"/>
      <c r="L11" s="34"/>
      <c r="M11" s="34"/>
      <c r="N11" s="34"/>
      <c r="O11" s="34"/>
      <c r="P11" s="60" t="s">
        <v>34</v>
      </c>
      <c r="Q11" s="34"/>
      <c r="R11" s="30"/>
    </row>
    <row r="12" spans="2:18" x14ac:dyDescent="0.2">
      <c r="B12" s="5" t="s">
        <v>40</v>
      </c>
      <c r="C12" s="62">
        <v>1125000</v>
      </c>
      <c r="E12" s="54" t="s">
        <v>32</v>
      </c>
      <c r="F12" s="52" t="s">
        <v>31</v>
      </c>
      <c r="G12" s="52"/>
      <c r="H12" s="52" t="s">
        <v>30</v>
      </c>
      <c r="I12" s="53"/>
      <c r="J12" s="52" t="s">
        <v>29</v>
      </c>
      <c r="K12" s="52"/>
      <c r="L12" s="52" t="s">
        <v>28</v>
      </c>
      <c r="M12" s="52"/>
      <c r="N12" s="52" t="s">
        <v>27</v>
      </c>
      <c r="O12" s="52"/>
      <c r="P12" s="60"/>
      <c r="Q12" s="34"/>
      <c r="R12" s="30"/>
    </row>
    <row r="13" spans="2:18" x14ac:dyDescent="0.2">
      <c r="B13" s="5" t="s">
        <v>38</v>
      </c>
      <c r="C13" s="11">
        <v>0.02</v>
      </c>
      <c r="E13" s="33" t="s">
        <v>61</v>
      </c>
      <c r="F13" s="36">
        <v>0.125</v>
      </c>
      <c r="G13" s="34"/>
      <c r="H13" s="37">
        <v>0.25</v>
      </c>
      <c r="I13" s="35"/>
      <c r="J13" s="37">
        <v>0.5</v>
      </c>
      <c r="K13" s="34"/>
      <c r="L13" s="37">
        <v>0.75</v>
      </c>
      <c r="M13" s="34"/>
      <c r="N13" s="37">
        <v>1</v>
      </c>
      <c r="O13" s="34"/>
      <c r="P13" s="60"/>
      <c r="Q13" s="34"/>
      <c r="R13" s="30"/>
    </row>
    <row r="14" spans="2:18" x14ac:dyDescent="0.2">
      <c r="B14" s="5" t="s">
        <v>37</v>
      </c>
      <c r="C14" s="62">
        <v>755000</v>
      </c>
      <c r="E14" s="33"/>
      <c r="F14" s="34"/>
      <c r="G14" s="34"/>
      <c r="H14" s="34"/>
      <c r="I14" s="35"/>
      <c r="J14" s="34"/>
      <c r="K14" s="34"/>
      <c r="L14" s="34"/>
      <c r="M14" s="34"/>
      <c r="N14" s="34"/>
      <c r="O14" s="34"/>
      <c r="P14" s="60"/>
      <c r="Q14" s="34"/>
      <c r="R14" s="30"/>
    </row>
    <row r="15" spans="2:18" x14ac:dyDescent="0.2">
      <c r="B15" s="5" t="s">
        <v>36</v>
      </c>
      <c r="C15" s="11">
        <v>3.5000000000000003E-2</v>
      </c>
      <c r="E15" s="33" t="s">
        <v>22</v>
      </c>
      <c r="F15" s="40">
        <f>C20</f>
        <v>36920</v>
      </c>
      <c r="G15" s="40"/>
      <c r="H15" s="40">
        <f>F15+F16</f>
        <v>36920</v>
      </c>
      <c r="I15" s="42"/>
      <c r="J15" s="40">
        <f>H15+H16</f>
        <v>38766</v>
      </c>
      <c r="K15" s="40"/>
      <c r="L15" s="40">
        <f>J15+J16</f>
        <v>40704.300000000003</v>
      </c>
      <c r="M15" s="40"/>
      <c r="N15" s="40">
        <f>L15+L16</f>
        <v>42739.514999999999</v>
      </c>
      <c r="O15" s="40"/>
      <c r="P15" s="64">
        <f>SUM(F15:N15)</f>
        <v>196049.815</v>
      </c>
      <c r="Q15" s="34"/>
      <c r="R15" s="30"/>
    </row>
    <row r="16" spans="2:18" x14ac:dyDescent="0.2">
      <c r="B16" s="5" t="s">
        <v>35</v>
      </c>
      <c r="C16" s="63">
        <f>C8-C14</f>
        <v>223500</v>
      </c>
      <c r="E16" s="33" t="s">
        <v>20</v>
      </c>
      <c r="F16" s="40"/>
      <c r="G16" s="40"/>
      <c r="H16" s="40">
        <f>H15*$C$21</f>
        <v>1846</v>
      </c>
      <c r="I16" s="42"/>
      <c r="J16" s="40">
        <f>J15*$C$21</f>
        <v>1938.3000000000002</v>
      </c>
      <c r="K16" s="40"/>
      <c r="L16" s="40">
        <f>L15*$C$21</f>
        <v>2035.2150000000001</v>
      </c>
      <c r="M16" s="40"/>
      <c r="N16" s="40">
        <f>N15*$C$21</f>
        <v>2136.9757500000001</v>
      </c>
      <c r="O16" s="40"/>
      <c r="P16" s="64">
        <f>SUM(F16:N16)</f>
        <v>7956.4907500000008</v>
      </c>
      <c r="Q16" s="34"/>
      <c r="R16" s="30"/>
    </row>
    <row r="17" spans="2:18" x14ac:dyDescent="0.2">
      <c r="B17" s="5" t="s">
        <v>33</v>
      </c>
      <c r="C17" s="9">
        <f>C16/C8</f>
        <v>0.22841083290751149</v>
      </c>
      <c r="E17" s="33" t="s">
        <v>18</v>
      </c>
      <c r="F17" s="40"/>
      <c r="G17" s="40"/>
      <c r="H17" s="40"/>
      <c r="I17" s="42"/>
      <c r="J17" s="40"/>
      <c r="K17" s="40"/>
      <c r="L17" s="40"/>
      <c r="M17" s="40"/>
      <c r="N17" s="40"/>
      <c r="O17" s="40"/>
      <c r="P17" s="64"/>
      <c r="Q17" s="34"/>
      <c r="R17" s="30"/>
    </row>
    <row r="18" spans="2:18" x14ac:dyDescent="0.2">
      <c r="B18" s="5" t="s">
        <v>26</v>
      </c>
      <c r="C18" s="9">
        <f>C16/C12</f>
        <v>0.19866666666666666</v>
      </c>
      <c r="E18" s="33" t="str">
        <f t="shared" ref="E18:F25" si="0">B23</f>
        <v>Management Fee</v>
      </c>
      <c r="F18" s="40">
        <f t="shared" si="0"/>
        <v>3051.4380000000001</v>
      </c>
      <c r="G18" s="40"/>
      <c r="H18" s="40">
        <f t="shared" ref="H18:H26" si="1">F18</f>
        <v>3051.4380000000001</v>
      </c>
      <c r="I18" s="42"/>
      <c r="J18" s="40">
        <f t="shared" ref="J18:J26" si="2">H18</f>
        <v>3051.4380000000001</v>
      </c>
      <c r="K18" s="40"/>
      <c r="L18" s="40">
        <f t="shared" ref="L18:L26" si="3">J18</f>
        <v>3051.4380000000001</v>
      </c>
      <c r="M18" s="40"/>
      <c r="N18" s="40">
        <f t="shared" ref="N18:N26" si="4">L18</f>
        <v>3051.4380000000001</v>
      </c>
      <c r="O18" s="40"/>
      <c r="P18" s="64">
        <f t="shared" ref="P18:P26" si="5">SUM(F18:N18)</f>
        <v>15257.19</v>
      </c>
      <c r="Q18" s="34"/>
      <c r="R18" s="30"/>
    </row>
    <row r="19" spans="2:18" x14ac:dyDescent="0.2">
      <c r="B19" s="5" t="s">
        <v>24</v>
      </c>
      <c r="C19" s="62">
        <v>710</v>
      </c>
      <c r="E19" s="33" t="str">
        <f t="shared" si="0"/>
        <v xml:space="preserve">Letting Fee (assume 2 year tenancies) </v>
      </c>
      <c r="F19" s="40">
        <f t="shared" si="0"/>
        <v>408.24999999999994</v>
      </c>
      <c r="G19" s="40"/>
      <c r="H19" s="40">
        <f t="shared" si="1"/>
        <v>408.24999999999994</v>
      </c>
      <c r="I19" s="42"/>
      <c r="J19" s="40">
        <f t="shared" si="2"/>
        <v>408.24999999999994</v>
      </c>
      <c r="K19" s="40"/>
      <c r="L19" s="40">
        <f t="shared" si="3"/>
        <v>408.24999999999994</v>
      </c>
      <c r="M19" s="40"/>
      <c r="N19" s="40">
        <f t="shared" si="4"/>
        <v>408.24999999999994</v>
      </c>
      <c r="O19" s="40"/>
      <c r="P19" s="64">
        <f t="shared" si="5"/>
        <v>2041.2499999999998</v>
      </c>
      <c r="Q19" s="34"/>
      <c r="R19" s="30"/>
    </row>
    <row r="20" spans="2:18" x14ac:dyDescent="0.2">
      <c r="B20" s="5" t="s">
        <v>23</v>
      </c>
      <c r="C20" s="6">
        <f>C19*52</f>
        <v>36920</v>
      </c>
      <c r="E20" s="33" t="str">
        <f t="shared" si="0"/>
        <v xml:space="preserve">Advertising and Credit (2 year tenancies) </v>
      </c>
      <c r="F20" s="40">
        <f t="shared" si="0"/>
        <v>84</v>
      </c>
      <c r="G20" s="40"/>
      <c r="H20" s="40">
        <f t="shared" si="1"/>
        <v>84</v>
      </c>
      <c r="I20" s="42"/>
      <c r="J20" s="40">
        <f t="shared" si="2"/>
        <v>84</v>
      </c>
      <c r="K20" s="40"/>
      <c r="L20" s="40">
        <f t="shared" si="3"/>
        <v>84</v>
      </c>
      <c r="M20" s="40"/>
      <c r="N20" s="40">
        <f t="shared" si="4"/>
        <v>84</v>
      </c>
      <c r="O20" s="40"/>
      <c r="P20" s="64">
        <f t="shared" si="5"/>
        <v>420</v>
      </c>
      <c r="Q20" s="34"/>
      <c r="R20" s="30"/>
    </row>
    <row r="21" spans="2:18" x14ac:dyDescent="0.2">
      <c r="B21" s="5" t="s">
        <v>21</v>
      </c>
      <c r="C21" s="8">
        <v>0.05</v>
      </c>
      <c r="E21" s="33" t="str">
        <f t="shared" si="0"/>
        <v xml:space="preserve">Inspections </v>
      </c>
      <c r="F21" s="40">
        <f t="shared" si="0"/>
        <v>161</v>
      </c>
      <c r="G21" s="40"/>
      <c r="H21" s="40">
        <f t="shared" si="1"/>
        <v>161</v>
      </c>
      <c r="I21" s="42"/>
      <c r="J21" s="40">
        <f t="shared" si="2"/>
        <v>161</v>
      </c>
      <c r="K21" s="40"/>
      <c r="L21" s="40">
        <f t="shared" si="3"/>
        <v>161</v>
      </c>
      <c r="M21" s="40"/>
      <c r="N21" s="40">
        <f t="shared" si="4"/>
        <v>161</v>
      </c>
      <c r="O21" s="40"/>
      <c r="P21" s="64">
        <f t="shared" si="5"/>
        <v>805</v>
      </c>
      <c r="Q21" s="34"/>
      <c r="R21" s="30"/>
    </row>
    <row r="22" spans="2:18" x14ac:dyDescent="0.2">
      <c r="B22" s="5" t="s">
        <v>19</v>
      </c>
      <c r="C22" s="7"/>
      <c r="E22" s="33" t="str">
        <f t="shared" si="0"/>
        <v>Water (inc fixed charges assume all water collected</v>
      </c>
      <c r="F22" s="40">
        <f t="shared" si="0"/>
        <v>210</v>
      </c>
      <c r="G22" s="40"/>
      <c r="H22" s="40">
        <f t="shared" si="1"/>
        <v>210</v>
      </c>
      <c r="I22" s="42"/>
      <c r="J22" s="40">
        <f t="shared" si="2"/>
        <v>210</v>
      </c>
      <c r="K22" s="40"/>
      <c r="L22" s="40">
        <f t="shared" si="3"/>
        <v>210</v>
      </c>
      <c r="M22" s="40"/>
      <c r="N22" s="40">
        <f t="shared" si="4"/>
        <v>210</v>
      </c>
      <c r="O22" s="40"/>
      <c r="P22" s="64">
        <f t="shared" si="5"/>
        <v>1050</v>
      </c>
      <c r="Q22" s="34"/>
      <c r="R22" s="30"/>
    </row>
    <row r="23" spans="2:18" x14ac:dyDescent="0.2">
      <c r="B23" s="5" t="s">
        <v>17</v>
      </c>
      <c r="C23" s="63">
        <f>C20*0.08265</f>
        <v>3051.4380000000001</v>
      </c>
      <c r="E23" s="33" t="str">
        <f t="shared" si="0"/>
        <v>Provisional Sum for maintenance</v>
      </c>
      <c r="F23" s="40">
        <f t="shared" si="0"/>
        <v>1900</v>
      </c>
      <c r="G23" s="40"/>
      <c r="H23" s="40">
        <f t="shared" si="1"/>
        <v>1900</v>
      </c>
      <c r="I23" s="42"/>
      <c r="J23" s="40">
        <f t="shared" si="2"/>
        <v>1900</v>
      </c>
      <c r="K23" s="40"/>
      <c r="L23" s="40">
        <f t="shared" si="3"/>
        <v>1900</v>
      </c>
      <c r="M23" s="40"/>
      <c r="N23" s="40">
        <f t="shared" si="4"/>
        <v>1900</v>
      </c>
      <c r="O23" s="40"/>
      <c r="P23" s="64">
        <f t="shared" si="5"/>
        <v>9500</v>
      </c>
      <c r="Q23" s="34"/>
      <c r="R23" s="30"/>
    </row>
    <row r="24" spans="2:18" x14ac:dyDescent="0.2">
      <c r="B24" s="5" t="s">
        <v>16</v>
      </c>
      <c r="C24" s="63">
        <f>(C19/2)*1.15</f>
        <v>408.24999999999994</v>
      </c>
      <c r="E24" s="33" t="str">
        <f t="shared" si="0"/>
        <v>Council Rates</v>
      </c>
      <c r="F24" s="40">
        <f t="shared" si="0"/>
        <v>1800</v>
      </c>
      <c r="G24" s="40"/>
      <c r="H24" s="40">
        <f t="shared" si="1"/>
        <v>1800</v>
      </c>
      <c r="I24" s="42"/>
      <c r="J24" s="40">
        <f t="shared" si="2"/>
        <v>1800</v>
      </c>
      <c r="K24" s="40"/>
      <c r="L24" s="40">
        <f t="shared" si="3"/>
        <v>1800</v>
      </c>
      <c r="M24" s="40"/>
      <c r="N24" s="40">
        <f t="shared" si="4"/>
        <v>1800</v>
      </c>
      <c r="O24" s="40"/>
      <c r="P24" s="64">
        <f t="shared" si="5"/>
        <v>9000</v>
      </c>
      <c r="Q24" s="34"/>
      <c r="R24" s="30"/>
    </row>
    <row r="25" spans="2:18" x14ac:dyDescent="0.2">
      <c r="B25" s="5" t="s">
        <v>60</v>
      </c>
      <c r="C25" s="63">
        <f>(99+34.5+34.5)/2</f>
        <v>84</v>
      </c>
      <c r="E25" s="33" t="str">
        <f t="shared" si="0"/>
        <v>Body Corp</v>
      </c>
      <c r="F25" s="40">
        <f t="shared" si="0"/>
        <v>5000</v>
      </c>
      <c r="G25" s="40"/>
      <c r="H25" s="40">
        <f t="shared" si="1"/>
        <v>5000</v>
      </c>
      <c r="I25" s="42"/>
      <c r="J25" s="40">
        <f t="shared" si="2"/>
        <v>5000</v>
      </c>
      <c r="K25" s="40"/>
      <c r="L25" s="40">
        <f t="shared" si="3"/>
        <v>5000</v>
      </c>
      <c r="M25" s="40"/>
      <c r="N25" s="40">
        <v>5000</v>
      </c>
      <c r="O25" s="40"/>
      <c r="P25" s="64">
        <f t="shared" si="5"/>
        <v>25000</v>
      </c>
      <c r="Q25" s="34"/>
      <c r="R25" s="30"/>
    </row>
    <row r="26" spans="2:18" x14ac:dyDescent="0.2">
      <c r="B26" s="5" t="s">
        <v>14</v>
      </c>
      <c r="C26" s="63">
        <f>40.25*4</f>
        <v>161</v>
      </c>
      <c r="E26" s="33" t="s">
        <v>51</v>
      </c>
      <c r="F26" s="40">
        <f>C31</f>
        <v>0</v>
      </c>
      <c r="G26" s="40"/>
      <c r="H26" s="40">
        <f t="shared" si="1"/>
        <v>0</v>
      </c>
      <c r="I26" s="42"/>
      <c r="J26" s="40">
        <f t="shared" si="2"/>
        <v>0</v>
      </c>
      <c r="K26" s="40"/>
      <c r="L26" s="40">
        <f t="shared" si="3"/>
        <v>0</v>
      </c>
      <c r="M26" s="40"/>
      <c r="N26" s="40">
        <f t="shared" si="4"/>
        <v>0</v>
      </c>
      <c r="O26" s="40"/>
      <c r="P26" s="64">
        <f t="shared" si="5"/>
        <v>0</v>
      </c>
      <c r="Q26" s="34"/>
      <c r="R26" s="30"/>
    </row>
    <row r="27" spans="2:18" x14ac:dyDescent="0.2">
      <c r="B27" s="5" t="s">
        <v>13</v>
      </c>
      <c r="C27" s="63">
        <v>210</v>
      </c>
      <c r="E27" s="33" t="s">
        <v>8</v>
      </c>
      <c r="F27" s="40">
        <f>C14*C15</f>
        <v>26425.000000000004</v>
      </c>
      <c r="G27" s="40"/>
      <c r="H27" s="40">
        <f>F27</f>
        <v>26425.000000000004</v>
      </c>
      <c r="I27" s="42"/>
      <c r="J27" s="40">
        <f>H27</f>
        <v>26425.000000000004</v>
      </c>
      <c r="K27" s="40"/>
      <c r="L27" s="40">
        <f>J27</f>
        <v>26425.000000000004</v>
      </c>
      <c r="M27" s="40"/>
      <c r="N27" s="40">
        <f>L27</f>
        <v>26425.000000000004</v>
      </c>
      <c r="O27" s="40"/>
      <c r="P27" s="64">
        <f>SUM(F27:N27)</f>
        <v>132125.00000000003</v>
      </c>
      <c r="Q27" s="34"/>
      <c r="R27" s="30"/>
    </row>
    <row r="28" spans="2:18" x14ac:dyDescent="0.2">
      <c r="B28" s="5" t="s">
        <v>12</v>
      </c>
      <c r="C28" s="63">
        <v>1900</v>
      </c>
      <c r="E28" s="33" t="s">
        <v>58</v>
      </c>
      <c r="F28" s="40">
        <f>-(F27*F13)</f>
        <v>-3303.1250000000005</v>
      </c>
      <c r="G28" s="40"/>
      <c r="H28" s="40">
        <f>-(H27*H13)</f>
        <v>-6606.2500000000009</v>
      </c>
      <c r="I28" s="42"/>
      <c r="J28" s="40">
        <f>-(J27*J13)</f>
        <v>-13212.500000000002</v>
      </c>
      <c r="K28" s="40"/>
      <c r="L28" s="40">
        <f>-(L27*L13)</f>
        <v>-19818.750000000004</v>
      </c>
      <c r="M28" s="40"/>
      <c r="N28" s="40">
        <f>-(N27*N13)</f>
        <v>-26425.000000000004</v>
      </c>
      <c r="O28" s="40"/>
      <c r="P28" s="64">
        <f>SUM(F28:N28)</f>
        <v>-69365.625000000015</v>
      </c>
      <c r="Q28" s="34"/>
      <c r="R28" s="30"/>
    </row>
    <row r="29" spans="2:18" x14ac:dyDescent="0.2">
      <c r="B29" s="5" t="s">
        <v>11</v>
      </c>
      <c r="C29" s="62">
        <v>1800</v>
      </c>
      <c r="E29" s="33"/>
      <c r="F29" s="40"/>
      <c r="G29" s="40"/>
      <c r="H29" s="40"/>
      <c r="I29" s="42"/>
      <c r="J29" s="40"/>
      <c r="K29" s="40"/>
      <c r="L29" s="40"/>
      <c r="M29" s="40"/>
      <c r="N29" s="40"/>
      <c r="O29" s="40"/>
      <c r="P29" s="64"/>
      <c r="Q29" s="34"/>
      <c r="R29" s="30"/>
    </row>
    <row r="30" spans="2:18" x14ac:dyDescent="0.2">
      <c r="B30" s="5" t="s">
        <v>10</v>
      </c>
      <c r="C30" s="62">
        <v>5000</v>
      </c>
      <c r="E30" s="47" t="s">
        <v>52</v>
      </c>
      <c r="F30" s="65">
        <f>SUM(F15:F16)-SUM(F18:F27)</f>
        <v>-2119.6880000000019</v>
      </c>
      <c r="G30" s="65"/>
      <c r="H30" s="65">
        <f>SUM(H15:H16)-SUM(H18:H27)</f>
        <v>-273.68800000000192</v>
      </c>
      <c r="I30" s="66"/>
      <c r="J30" s="65">
        <f>SUM(J15:J16)-SUM(J18:J27)</f>
        <v>1664.612000000001</v>
      </c>
      <c r="K30" s="65"/>
      <c r="L30" s="65">
        <f>SUM(L15:L16)-SUM(L18:L27)</f>
        <v>3699.8269999999975</v>
      </c>
      <c r="M30" s="65"/>
      <c r="N30" s="65">
        <f>SUM(N15:N16)-SUM(N18:N27)</f>
        <v>5836.8027499999953</v>
      </c>
      <c r="O30" s="65"/>
      <c r="P30" s="67">
        <f>SUM(P15:P16)-SUM(P18:P27)</f>
        <v>8807.8657499999681</v>
      </c>
      <c r="Q30" s="34"/>
      <c r="R30" s="30"/>
    </row>
    <row r="31" spans="2:18" ht="17" thickBot="1" x14ac:dyDescent="0.25">
      <c r="B31" s="3" t="s">
        <v>9</v>
      </c>
      <c r="C31" s="2"/>
      <c r="E31" s="33" t="s">
        <v>57</v>
      </c>
      <c r="F31" s="40">
        <f>F15+F16-SUM(F18:F27)-F28</f>
        <v>1183.4369999999985</v>
      </c>
      <c r="G31" s="40"/>
      <c r="H31" s="40">
        <f>H15+H16-SUM(H18:H27)-H28</f>
        <v>6332.561999999999</v>
      </c>
      <c r="I31" s="42"/>
      <c r="J31" s="40">
        <f>J15+J16-SUM(J18:J27)-J28</f>
        <v>14877.112000000003</v>
      </c>
      <c r="K31" s="40"/>
      <c r="L31" s="40">
        <f>L15+L16-SUM(L18:L27)-L28</f>
        <v>23518.577000000001</v>
      </c>
      <c r="M31" s="40"/>
      <c r="N31" s="40">
        <f>N15+N16-SUM(N18:N27)-N28</f>
        <v>32261.802749999999</v>
      </c>
      <c r="O31" s="40"/>
      <c r="P31" s="64">
        <f>SUM(F31:N31)</f>
        <v>78173.490749999997</v>
      </c>
      <c r="Q31" s="34"/>
      <c r="R31" s="30"/>
    </row>
    <row r="32" spans="2:18" x14ac:dyDescent="0.2">
      <c r="E32" s="27"/>
      <c r="F32" s="68"/>
      <c r="G32" s="68"/>
      <c r="H32" s="68"/>
      <c r="I32" s="69"/>
      <c r="J32" s="68"/>
      <c r="K32" s="68"/>
      <c r="L32" s="68"/>
      <c r="M32" s="68"/>
      <c r="N32" s="68"/>
      <c r="O32" s="68"/>
      <c r="P32" s="70"/>
      <c r="R32" s="30"/>
    </row>
    <row r="33" spans="5:18" x14ac:dyDescent="0.2">
      <c r="E33" s="33" t="s">
        <v>7</v>
      </c>
      <c r="F33" s="40">
        <f>F31*0.28</f>
        <v>331.36235999999963</v>
      </c>
      <c r="G33" s="40"/>
      <c r="H33" s="40">
        <f>H31*0.28</f>
        <v>1773.11736</v>
      </c>
      <c r="I33" s="42"/>
      <c r="J33" s="40">
        <f>J31*0.28</f>
        <v>4165.5913600000013</v>
      </c>
      <c r="K33" s="40"/>
      <c r="L33" s="40">
        <f>L31*0.28</f>
        <v>6585.2015600000013</v>
      </c>
      <c r="M33" s="40"/>
      <c r="N33" s="40">
        <f>N31*0.28</f>
        <v>9033.3047700000006</v>
      </c>
      <c r="O33" s="40"/>
      <c r="P33" s="64">
        <f>SUM(F33:N33)</f>
        <v>21888.577410000005</v>
      </c>
      <c r="Q33" s="34"/>
      <c r="R33" s="30"/>
    </row>
    <row r="34" spans="5:18" x14ac:dyDescent="0.2">
      <c r="E34" s="33"/>
      <c r="F34" s="40"/>
      <c r="G34" s="40"/>
      <c r="H34" s="40"/>
      <c r="I34" s="42"/>
      <c r="J34" s="40"/>
      <c r="K34" s="40"/>
      <c r="L34" s="40"/>
      <c r="M34" s="40"/>
      <c r="N34" s="40"/>
      <c r="O34" s="40"/>
      <c r="P34" s="64"/>
      <c r="Q34" s="34"/>
      <c r="R34" s="30"/>
    </row>
    <row r="35" spans="5:18" x14ac:dyDescent="0.2">
      <c r="E35" s="33" t="s">
        <v>53</v>
      </c>
      <c r="F35" s="40">
        <f>SUM(F15:F16)-SUM(F18:F25)-F27-F33</f>
        <v>-2451.0503600000052</v>
      </c>
      <c r="G35" s="40"/>
      <c r="H35" s="40">
        <f>SUM(H15:H16)-SUM(H18:H25)-H27-H33</f>
        <v>-2046.8053600000055</v>
      </c>
      <c r="I35" s="42"/>
      <c r="J35" s="40">
        <f>SUM(J15:J16)-SUM(J18:J25)-J27-J33</f>
        <v>-2500.9793600000039</v>
      </c>
      <c r="K35" s="40"/>
      <c r="L35" s="40">
        <f>SUM(L15:L16)-SUM(L18:L25)-L27-L33</f>
        <v>-2885.3745600000075</v>
      </c>
      <c r="M35" s="40"/>
      <c r="N35" s="40">
        <f>SUM(N15:N16)-SUM(N18:N25)-N27-N33</f>
        <v>-3196.502020000009</v>
      </c>
      <c r="O35" s="40"/>
      <c r="P35" s="64">
        <f>SUM(F35:N35)</f>
        <v>-13080.711660000032</v>
      </c>
      <c r="Q35" s="34"/>
      <c r="R35" s="30"/>
    </row>
    <row r="36" spans="5:18" x14ac:dyDescent="0.2">
      <c r="E36" s="33"/>
      <c r="F36" s="40"/>
      <c r="G36" s="40"/>
      <c r="H36" s="40"/>
      <c r="I36" s="42"/>
      <c r="J36" s="40"/>
      <c r="K36" s="40"/>
      <c r="L36" s="40"/>
      <c r="M36" s="40"/>
      <c r="N36" s="40"/>
      <c r="O36" s="40"/>
      <c r="P36" s="70"/>
      <c r="R36" s="30"/>
    </row>
    <row r="37" spans="5:18" x14ac:dyDescent="0.2">
      <c r="E37" s="33"/>
      <c r="F37" s="40"/>
      <c r="G37" s="40"/>
      <c r="H37" s="40"/>
      <c r="I37" s="42"/>
      <c r="J37" s="40"/>
      <c r="K37" s="40"/>
      <c r="L37" s="40"/>
      <c r="M37" s="40"/>
      <c r="N37" s="40"/>
      <c r="O37" s="40"/>
      <c r="P37" s="64"/>
      <c r="Q37" s="34"/>
      <c r="R37" s="30"/>
    </row>
    <row r="38" spans="5:18" x14ac:dyDescent="0.2">
      <c r="E38" s="33" t="s">
        <v>6</v>
      </c>
      <c r="F38" s="40"/>
      <c r="G38" s="40"/>
      <c r="H38" s="40"/>
      <c r="I38" s="42"/>
      <c r="J38" s="40"/>
      <c r="K38" s="40"/>
      <c r="L38" s="40"/>
      <c r="M38" s="40"/>
      <c r="N38" s="40"/>
      <c r="O38" s="40"/>
      <c r="P38" s="64"/>
      <c r="Q38" s="34"/>
      <c r="R38" s="30"/>
    </row>
    <row r="39" spans="5:18" x14ac:dyDescent="0.2">
      <c r="E39" s="41" t="s">
        <v>5</v>
      </c>
      <c r="F39" s="20">
        <f>C12</f>
        <v>1125000</v>
      </c>
      <c r="G39" s="20"/>
      <c r="H39" s="20">
        <f>F39+F40</f>
        <v>1147500</v>
      </c>
      <c r="I39" s="22"/>
      <c r="J39" s="20">
        <f>H39+H40</f>
        <v>1170450</v>
      </c>
      <c r="K39" s="20"/>
      <c r="L39" s="20">
        <f>J39+J40</f>
        <v>1193859</v>
      </c>
      <c r="M39" s="20"/>
      <c r="N39" s="20">
        <f>L39+L40</f>
        <v>1217736.18</v>
      </c>
      <c r="O39" s="20"/>
      <c r="P39" s="71">
        <f>N39+N40</f>
        <v>1242090.9035999998</v>
      </c>
      <c r="Q39" s="34"/>
      <c r="R39" s="61"/>
    </row>
    <row r="40" spans="5:18" x14ac:dyDescent="0.2">
      <c r="E40" s="33" t="s">
        <v>59</v>
      </c>
      <c r="F40" s="40">
        <f>F39*$C$13</f>
        <v>22500</v>
      </c>
      <c r="G40" s="40"/>
      <c r="H40" s="40">
        <f>H39*$C$13</f>
        <v>22950</v>
      </c>
      <c r="I40" s="42"/>
      <c r="J40" s="40">
        <f>J39*$C$13</f>
        <v>23409</v>
      </c>
      <c r="K40" s="40"/>
      <c r="L40" s="40">
        <f>L39*$C$13</f>
        <v>23877.18</v>
      </c>
      <c r="M40" s="40"/>
      <c r="N40" s="40">
        <f>N39*$C$13</f>
        <v>24354.723599999998</v>
      </c>
      <c r="O40" s="40"/>
      <c r="P40" s="64">
        <f>SUM(F40:N40)</f>
        <v>117090.90359999999</v>
      </c>
      <c r="Q40" s="34"/>
      <c r="R40" s="30"/>
    </row>
    <row r="41" spans="5:18" x14ac:dyDescent="0.2">
      <c r="E41" s="33"/>
      <c r="F41" s="34"/>
      <c r="G41" s="34"/>
      <c r="H41" s="34"/>
      <c r="I41" s="35"/>
      <c r="J41" s="34"/>
      <c r="K41" s="34"/>
      <c r="L41" s="34"/>
      <c r="M41" s="34"/>
      <c r="N41" s="34"/>
      <c r="O41" s="34"/>
      <c r="P41" s="60"/>
      <c r="Q41" s="34"/>
      <c r="R41" s="30"/>
    </row>
    <row r="42" spans="5:18" x14ac:dyDescent="0.2">
      <c r="E42" s="33"/>
      <c r="F42" s="34"/>
      <c r="G42" s="34"/>
      <c r="H42" s="34"/>
      <c r="I42" s="35"/>
      <c r="J42" s="34"/>
      <c r="K42" s="34"/>
      <c r="L42" s="34"/>
      <c r="M42" s="34"/>
      <c r="N42" s="34"/>
      <c r="O42" s="34"/>
      <c r="P42" s="28"/>
    </row>
    <row r="43" spans="5:18" x14ac:dyDescent="0.2">
      <c r="E43" s="33" t="s">
        <v>2</v>
      </c>
      <c r="F43" s="40">
        <f>((F39+F40)-$C$8)*0.28</f>
        <v>47320.000000000007</v>
      </c>
      <c r="G43" s="34"/>
      <c r="H43" s="40">
        <f>((H39+H40)-$C$8)*0.28</f>
        <v>53746.000000000007</v>
      </c>
      <c r="I43" s="35"/>
      <c r="J43" s="40">
        <f>((J39+J40)-$C$8)*0.28</f>
        <v>60300.520000000004</v>
      </c>
      <c r="K43" s="34"/>
      <c r="L43" s="40">
        <f>((L39+L40)-$C$8)*0.28</f>
        <v>66986.130399999995</v>
      </c>
      <c r="M43" s="34"/>
      <c r="N43" s="40">
        <v>0</v>
      </c>
      <c r="O43" s="34"/>
      <c r="P43" s="28"/>
    </row>
    <row r="44" spans="5:18" x14ac:dyDescent="0.2">
      <c r="E44" s="33"/>
      <c r="F44" s="34"/>
      <c r="G44" s="34"/>
      <c r="H44" s="34"/>
      <c r="I44" s="35"/>
      <c r="J44" s="34"/>
      <c r="K44" s="34"/>
      <c r="L44" s="34"/>
      <c r="M44" s="34"/>
      <c r="N44" s="34"/>
      <c r="O44" s="34"/>
      <c r="P44" s="28"/>
    </row>
    <row r="45" spans="5:18" x14ac:dyDescent="0.2">
      <c r="E45" s="33"/>
      <c r="F45" s="40"/>
      <c r="G45" s="34"/>
      <c r="H45" s="40"/>
      <c r="I45" s="35"/>
      <c r="J45" s="40"/>
      <c r="K45" s="34"/>
      <c r="L45" s="40"/>
      <c r="M45" s="34"/>
      <c r="N45" s="40"/>
      <c r="O45" s="34"/>
      <c r="P45" s="28"/>
    </row>
    <row r="46" spans="5:18" x14ac:dyDescent="0.2">
      <c r="E46" s="41"/>
      <c r="F46" s="20"/>
      <c r="G46" s="19"/>
      <c r="H46" s="20"/>
      <c r="I46" s="51"/>
      <c r="J46" s="20"/>
      <c r="K46" s="19"/>
      <c r="L46" s="20"/>
      <c r="M46" s="19"/>
      <c r="N46" s="20"/>
      <c r="O46" s="19"/>
      <c r="P46" s="43"/>
    </row>
    <row r="48" spans="5:18" x14ac:dyDescent="0.2">
      <c r="P48" s="23" t="s">
        <v>55</v>
      </c>
      <c r="Q48" s="24"/>
      <c r="R48" s="55"/>
    </row>
    <row r="49" spans="16:18" x14ac:dyDescent="0.2">
      <c r="P49" s="56">
        <f>P35*-1</f>
        <v>13080.711660000032</v>
      </c>
      <c r="Q49" s="34" t="s">
        <v>3</v>
      </c>
      <c r="R49" s="32"/>
    </row>
    <row r="50" spans="16:18" x14ac:dyDescent="0.2">
      <c r="P50" s="57">
        <f>P49/P40</f>
        <v>0.11171415761454619</v>
      </c>
      <c r="Q50" s="34" t="s">
        <v>1</v>
      </c>
      <c r="R50" s="32"/>
    </row>
    <row r="51" spans="16:18" x14ac:dyDescent="0.2">
      <c r="P51" s="58">
        <f>P35/(52*5)</f>
        <v>-50.310429461538583</v>
      </c>
      <c r="Q51" s="34" t="s">
        <v>54</v>
      </c>
      <c r="R51" s="32"/>
    </row>
    <row r="52" spans="16:18" x14ac:dyDescent="0.2">
      <c r="P52" s="59">
        <f>P40-P49</f>
        <v>104010.19193999996</v>
      </c>
      <c r="Q52" s="19" t="s">
        <v>56</v>
      </c>
      <c r="R52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FB419-9DDE-5244-872B-70B71C55A035}">
  <dimension ref="B2:R52"/>
  <sheetViews>
    <sheetView workbookViewId="0">
      <selection activeCell="J50" sqref="J50"/>
    </sheetView>
  </sheetViews>
  <sheetFormatPr baseColWidth="10" defaultRowHeight="16" x14ac:dyDescent="0.2"/>
  <cols>
    <col min="2" max="2" width="43.83203125" customWidth="1"/>
    <col min="3" max="3" width="16.1640625" customWidth="1"/>
    <col min="5" max="5" width="36.83203125" customWidth="1"/>
    <col min="6" max="6" width="12.83203125" bestFit="1" customWidth="1"/>
    <col min="7" max="7" width="2.83203125" customWidth="1"/>
    <col min="8" max="8" width="15.33203125" bestFit="1" customWidth="1"/>
    <col min="9" max="9" width="2.83203125" customWidth="1"/>
    <col min="10" max="10" width="12.83203125" bestFit="1" customWidth="1"/>
    <col min="11" max="11" width="2.83203125" customWidth="1"/>
    <col min="12" max="12" width="12.83203125" bestFit="1" customWidth="1"/>
    <col min="13" max="13" width="2.83203125" customWidth="1"/>
    <col min="14" max="14" width="12.83203125" bestFit="1" customWidth="1"/>
    <col min="15" max="15" width="2.83203125" customWidth="1"/>
    <col min="16" max="16" width="12.6640625" bestFit="1" customWidth="1"/>
    <col min="18" max="18" width="23.83203125" customWidth="1"/>
  </cols>
  <sheetData>
    <row r="2" spans="2:18" x14ac:dyDescent="0.2">
      <c r="B2" s="17" t="s">
        <v>47</v>
      </c>
      <c r="C2" s="17" t="s">
        <v>62</v>
      </c>
      <c r="E2" t="s">
        <v>44</v>
      </c>
    </row>
    <row r="3" spans="2:18" x14ac:dyDescent="0.2">
      <c r="B3" s="18" t="s">
        <v>48</v>
      </c>
      <c r="C3" s="18"/>
    </row>
    <row r="4" spans="2:18" ht="17" thickBot="1" x14ac:dyDescent="0.25">
      <c r="E4" t="s">
        <v>45</v>
      </c>
    </row>
    <row r="5" spans="2:18" x14ac:dyDescent="0.2">
      <c r="B5" s="16" t="s">
        <v>43</v>
      </c>
      <c r="C5" s="15"/>
      <c r="E5" t="s">
        <v>46</v>
      </c>
    </row>
    <row r="6" spans="2:18" x14ac:dyDescent="0.2">
      <c r="B6" s="14"/>
      <c r="C6" s="13"/>
    </row>
    <row r="7" spans="2:18" x14ac:dyDescent="0.2">
      <c r="B7" s="5" t="s">
        <v>42</v>
      </c>
      <c r="C7" s="72">
        <f>'Slide  Fill this in '!C7</f>
        <v>43891</v>
      </c>
      <c r="E7" s="44" t="s">
        <v>49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6"/>
    </row>
    <row r="8" spans="2:18" x14ac:dyDescent="0.2">
      <c r="B8" s="5" t="s">
        <v>41</v>
      </c>
      <c r="C8" s="73">
        <f>'Slide  Fill this in '!C8</f>
        <v>978500</v>
      </c>
      <c r="E8" s="45" t="s">
        <v>50</v>
      </c>
      <c r="P8" s="28"/>
    </row>
    <row r="9" spans="2:18" x14ac:dyDescent="0.2">
      <c r="B9" s="5"/>
      <c r="C9" s="75"/>
      <c r="E9" s="27"/>
      <c r="P9" s="28"/>
    </row>
    <row r="10" spans="2:18" x14ac:dyDescent="0.2">
      <c r="B10" s="5"/>
      <c r="C10" s="75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2"/>
      <c r="Q10" s="30"/>
      <c r="R10" s="30"/>
    </row>
    <row r="11" spans="2:18" x14ac:dyDescent="0.2">
      <c r="B11" s="5"/>
      <c r="C11" s="75"/>
      <c r="E11" s="33"/>
      <c r="F11" s="34"/>
      <c r="G11" s="34"/>
      <c r="H11" s="1" t="s">
        <v>39</v>
      </c>
      <c r="I11" s="35"/>
      <c r="J11" s="34"/>
      <c r="K11" s="34"/>
      <c r="L11" s="34"/>
      <c r="M11" s="34"/>
      <c r="N11" s="34"/>
      <c r="O11" s="34"/>
      <c r="P11" s="60" t="s">
        <v>34</v>
      </c>
      <c r="Q11" s="34"/>
      <c r="R11" s="30"/>
    </row>
    <row r="12" spans="2:18" x14ac:dyDescent="0.2">
      <c r="B12" s="5" t="s">
        <v>40</v>
      </c>
      <c r="C12" s="73">
        <f>'Slide  Fill this in '!C12</f>
        <v>1125000</v>
      </c>
      <c r="E12" s="54" t="s">
        <v>32</v>
      </c>
      <c r="F12" s="52" t="s">
        <v>31</v>
      </c>
      <c r="G12" s="52"/>
      <c r="H12" s="52" t="s">
        <v>30</v>
      </c>
      <c r="I12" s="53"/>
      <c r="J12" s="52" t="s">
        <v>29</v>
      </c>
      <c r="K12" s="52"/>
      <c r="L12" s="52" t="s">
        <v>28</v>
      </c>
      <c r="M12" s="52"/>
      <c r="N12" s="52" t="s">
        <v>27</v>
      </c>
      <c r="O12" s="52"/>
      <c r="P12" s="60"/>
      <c r="Q12" s="34"/>
      <c r="R12" s="30"/>
    </row>
    <row r="13" spans="2:18" x14ac:dyDescent="0.2">
      <c r="B13" s="5" t="s">
        <v>38</v>
      </c>
      <c r="C13" s="74">
        <f>'Slide  Fill this in '!C13</f>
        <v>0.02</v>
      </c>
      <c r="E13" s="33" t="s">
        <v>61</v>
      </c>
      <c r="F13" s="36">
        <v>0.125</v>
      </c>
      <c r="G13" s="34"/>
      <c r="H13" s="37">
        <v>0.25</v>
      </c>
      <c r="I13" s="35"/>
      <c r="J13" s="37">
        <v>0.5</v>
      </c>
      <c r="K13" s="34"/>
      <c r="L13" s="37">
        <v>0.25</v>
      </c>
      <c r="M13" s="34"/>
      <c r="N13" s="37">
        <v>0</v>
      </c>
      <c r="O13" s="34"/>
      <c r="P13" s="60"/>
      <c r="Q13" s="34"/>
      <c r="R13" s="30"/>
    </row>
    <row r="14" spans="2:18" x14ac:dyDescent="0.2">
      <c r="B14" s="5" t="s">
        <v>37</v>
      </c>
      <c r="C14" s="73">
        <f>'Slide  Fill this in '!C14</f>
        <v>755000</v>
      </c>
      <c r="E14" s="33"/>
      <c r="F14" s="34"/>
      <c r="G14" s="34"/>
      <c r="H14" s="34"/>
      <c r="I14" s="35"/>
      <c r="J14" s="34"/>
      <c r="K14" s="34"/>
      <c r="L14" s="34"/>
      <c r="M14" s="34"/>
      <c r="N14" s="34"/>
      <c r="O14" s="34"/>
      <c r="P14" s="60"/>
      <c r="Q14" s="34"/>
      <c r="R14" s="30"/>
    </row>
    <row r="15" spans="2:18" x14ac:dyDescent="0.2">
      <c r="B15" s="5" t="s">
        <v>36</v>
      </c>
      <c r="C15" s="74">
        <f>'Slide  Fill this in '!C15</f>
        <v>3.5000000000000003E-2</v>
      </c>
      <c r="E15" s="33" t="s">
        <v>22</v>
      </c>
      <c r="F15" s="40">
        <f>C20</f>
        <v>36920</v>
      </c>
      <c r="G15" s="40"/>
      <c r="H15" s="40">
        <f>F15+F16</f>
        <v>36920</v>
      </c>
      <c r="I15" s="42"/>
      <c r="J15" s="40">
        <f>H15+H16</f>
        <v>38766</v>
      </c>
      <c r="K15" s="40"/>
      <c r="L15" s="40">
        <f>J15+J16</f>
        <v>40704.300000000003</v>
      </c>
      <c r="M15" s="40"/>
      <c r="N15" s="40">
        <f>L15+L16</f>
        <v>42739.514999999999</v>
      </c>
      <c r="O15" s="40"/>
      <c r="P15" s="64">
        <f>SUM(F15:N15)</f>
        <v>196049.815</v>
      </c>
      <c r="Q15" s="34"/>
      <c r="R15" s="30"/>
    </row>
    <row r="16" spans="2:18" x14ac:dyDescent="0.2">
      <c r="B16" s="5" t="s">
        <v>35</v>
      </c>
      <c r="C16" s="73">
        <f>'Slide  Fill this in '!C16</f>
        <v>223500</v>
      </c>
      <c r="E16" s="33" t="s">
        <v>20</v>
      </c>
      <c r="F16" s="40"/>
      <c r="G16" s="40"/>
      <c r="H16" s="40">
        <f>H15*$C$21</f>
        <v>1846</v>
      </c>
      <c r="I16" s="42"/>
      <c r="J16" s="40">
        <f>J15*$C$21</f>
        <v>1938.3000000000002</v>
      </c>
      <c r="K16" s="40"/>
      <c r="L16" s="40">
        <f>L15*$C$21</f>
        <v>2035.2150000000001</v>
      </c>
      <c r="M16" s="40"/>
      <c r="N16" s="40">
        <f>N15*$C$21</f>
        <v>2136.9757500000001</v>
      </c>
      <c r="O16" s="40"/>
      <c r="P16" s="64">
        <f>SUM(F16:N16)</f>
        <v>7956.4907500000008</v>
      </c>
      <c r="Q16" s="34"/>
      <c r="R16" s="30"/>
    </row>
    <row r="17" spans="2:18" x14ac:dyDescent="0.2">
      <c r="B17" s="5" t="s">
        <v>33</v>
      </c>
      <c r="C17" s="74">
        <f>'Slide  Fill this in '!C17</f>
        <v>0.22841083290751149</v>
      </c>
      <c r="E17" s="33" t="s">
        <v>18</v>
      </c>
      <c r="F17" s="40"/>
      <c r="G17" s="40"/>
      <c r="H17" s="40"/>
      <c r="I17" s="42"/>
      <c r="J17" s="40"/>
      <c r="K17" s="40"/>
      <c r="L17" s="40"/>
      <c r="M17" s="40"/>
      <c r="N17" s="40"/>
      <c r="O17" s="40"/>
      <c r="P17" s="64"/>
      <c r="Q17" s="34"/>
      <c r="R17" s="30"/>
    </row>
    <row r="18" spans="2:18" x14ac:dyDescent="0.2">
      <c r="B18" s="5" t="s">
        <v>26</v>
      </c>
      <c r="C18" s="74">
        <f>'Slide  Fill this in '!C18</f>
        <v>0.19866666666666666</v>
      </c>
      <c r="E18" s="33" t="str">
        <f t="shared" ref="E18:F25" si="0">B23</f>
        <v>Management Fee</v>
      </c>
      <c r="F18" s="40">
        <f t="shared" si="0"/>
        <v>3051.4380000000001</v>
      </c>
      <c r="G18" s="40"/>
      <c r="H18" s="40">
        <f t="shared" ref="H18:H26" si="1">F18</f>
        <v>3051.4380000000001</v>
      </c>
      <c r="I18" s="42"/>
      <c r="J18" s="40">
        <f t="shared" ref="J18:J26" si="2">H18</f>
        <v>3051.4380000000001</v>
      </c>
      <c r="K18" s="40"/>
      <c r="L18" s="40">
        <f t="shared" ref="L18:L26" si="3">J18</f>
        <v>3051.4380000000001</v>
      </c>
      <c r="M18" s="40"/>
      <c r="N18" s="40">
        <f t="shared" ref="N18:N26" si="4">L18</f>
        <v>3051.4380000000001</v>
      </c>
      <c r="O18" s="40"/>
      <c r="P18" s="64">
        <f t="shared" ref="P18:P26" si="5">SUM(F18:N18)</f>
        <v>15257.19</v>
      </c>
      <c r="Q18" s="34"/>
      <c r="R18" s="30"/>
    </row>
    <row r="19" spans="2:18" x14ac:dyDescent="0.2">
      <c r="B19" s="5" t="s">
        <v>24</v>
      </c>
      <c r="C19" s="73">
        <f>'Slide  Fill this in '!C19</f>
        <v>710</v>
      </c>
      <c r="E19" s="33" t="str">
        <f t="shared" si="0"/>
        <v xml:space="preserve">Letting Fee (assume 2 year tenancies) </v>
      </c>
      <c r="F19" s="40">
        <f t="shared" si="0"/>
        <v>408.24999999999994</v>
      </c>
      <c r="G19" s="40"/>
      <c r="H19" s="40">
        <f t="shared" si="1"/>
        <v>408.24999999999994</v>
      </c>
      <c r="I19" s="42"/>
      <c r="J19" s="40">
        <f t="shared" si="2"/>
        <v>408.24999999999994</v>
      </c>
      <c r="K19" s="40"/>
      <c r="L19" s="40">
        <f t="shared" si="3"/>
        <v>408.24999999999994</v>
      </c>
      <c r="M19" s="40"/>
      <c r="N19" s="40">
        <f t="shared" si="4"/>
        <v>408.24999999999994</v>
      </c>
      <c r="O19" s="40"/>
      <c r="P19" s="64">
        <f t="shared" si="5"/>
        <v>2041.2499999999998</v>
      </c>
      <c r="Q19" s="34"/>
      <c r="R19" s="30"/>
    </row>
    <row r="20" spans="2:18" x14ac:dyDescent="0.2">
      <c r="B20" s="5" t="s">
        <v>23</v>
      </c>
      <c r="C20" s="73">
        <f>'Slide  Fill this in '!C20</f>
        <v>36920</v>
      </c>
      <c r="E20" s="33" t="str">
        <f t="shared" si="0"/>
        <v xml:space="preserve">Advertising and Credit (2 year tenancies) </v>
      </c>
      <c r="F20" s="40">
        <f t="shared" si="0"/>
        <v>84</v>
      </c>
      <c r="G20" s="40"/>
      <c r="H20" s="40">
        <f t="shared" si="1"/>
        <v>84</v>
      </c>
      <c r="I20" s="42"/>
      <c r="J20" s="40">
        <f t="shared" si="2"/>
        <v>84</v>
      </c>
      <c r="K20" s="40"/>
      <c r="L20" s="40">
        <f t="shared" si="3"/>
        <v>84</v>
      </c>
      <c r="M20" s="40"/>
      <c r="N20" s="40">
        <f t="shared" si="4"/>
        <v>84</v>
      </c>
      <c r="O20" s="40"/>
      <c r="P20" s="64">
        <f t="shared" si="5"/>
        <v>420</v>
      </c>
      <c r="Q20" s="34"/>
      <c r="R20" s="30"/>
    </row>
    <row r="21" spans="2:18" x14ac:dyDescent="0.2">
      <c r="B21" s="5" t="s">
        <v>21</v>
      </c>
      <c r="C21" s="74">
        <f>'Slide  Fill this in '!C21</f>
        <v>0.05</v>
      </c>
      <c r="E21" s="33" t="str">
        <f t="shared" si="0"/>
        <v xml:space="preserve">Inspections </v>
      </c>
      <c r="F21" s="40">
        <f t="shared" si="0"/>
        <v>161</v>
      </c>
      <c r="G21" s="40"/>
      <c r="H21" s="40">
        <f t="shared" si="1"/>
        <v>161</v>
      </c>
      <c r="I21" s="42"/>
      <c r="J21" s="40">
        <f t="shared" si="2"/>
        <v>161</v>
      </c>
      <c r="K21" s="40"/>
      <c r="L21" s="40">
        <f t="shared" si="3"/>
        <v>161</v>
      </c>
      <c r="M21" s="40"/>
      <c r="N21" s="40">
        <f t="shared" si="4"/>
        <v>161</v>
      </c>
      <c r="O21" s="40"/>
      <c r="P21" s="64">
        <f t="shared" si="5"/>
        <v>805</v>
      </c>
      <c r="Q21" s="34"/>
      <c r="R21" s="30"/>
    </row>
    <row r="22" spans="2:18" x14ac:dyDescent="0.2">
      <c r="B22" s="5" t="s">
        <v>19</v>
      </c>
      <c r="C22" s="75"/>
      <c r="E22" s="33" t="str">
        <f t="shared" si="0"/>
        <v>Water (inc fixed charges assume all water collected</v>
      </c>
      <c r="F22" s="40">
        <f t="shared" si="0"/>
        <v>210</v>
      </c>
      <c r="G22" s="40"/>
      <c r="H22" s="40">
        <f t="shared" si="1"/>
        <v>210</v>
      </c>
      <c r="I22" s="42"/>
      <c r="J22" s="40">
        <f t="shared" si="2"/>
        <v>210</v>
      </c>
      <c r="K22" s="40"/>
      <c r="L22" s="40">
        <f t="shared" si="3"/>
        <v>210</v>
      </c>
      <c r="M22" s="40"/>
      <c r="N22" s="40">
        <f t="shared" si="4"/>
        <v>210</v>
      </c>
      <c r="O22" s="40"/>
      <c r="P22" s="64">
        <f t="shared" si="5"/>
        <v>1050</v>
      </c>
      <c r="Q22" s="34"/>
      <c r="R22" s="30"/>
    </row>
    <row r="23" spans="2:18" x14ac:dyDescent="0.2">
      <c r="B23" s="5" t="s">
        <v>17</v>
      </c>
      <c r="C23" s="73">
        <f>'Slide  Fill this in '!C23</f>
        <v>3051.4380000000001</v>
      </c>
      <c r="E23" s="33" t="str">
        <f t="shared" si="0"/>
        <v>Provisional Sum for maintenance</v>
      </c>
      <c r="F23" s="40">
        <f t="shared" si="0"/>
        <v>1900</v>
      </c>
      <c r="G23" s="40"/>
      <c r="H23" s="40">
        <f t="shared" si="1"/>
        <v>1900</v>
      </c>
      <c r="I23" s="42"/>
      <c r="J23" s="40">
        <f t="shared" si="2"/>
        <v>1900</v>
      </c>
      <c r="K23" s="40"/>
      <c r="L23" s="40">
        <f t="shared" si="3"/>
        <v>1900</v>
      </c>
      <c r="M23" s="40"/>
      <c r="N23" s="40">
        <f t="shared" si="4"/>
        <v>1900</v>
      </c>
      <c r="O23" s="40"/>
      <c r="P23" s="64">
        <f t="shared" si="5"/>
        <v>9500</v>
      </c>
      <c r="Q23" s="34"/>
      <c r="R23" s="30"/>
    </row>
    <row r="24" spans="2:18" x14ac:dyDescent="0.2">
      <c r="B24" s="5" t="s">
        <v>16</v>
      </c>
      <c r="C24" s="73">
        <f>'Slide  Fill this in '!C24</f>
        <v>408.24999999999994</v>
      </c>
      <c r="E24" s="33" t="str">
        <f t="shared" si="0"/>
        <v>Council Rates</v>
      </c>
      <c r="F24" s="40">
        <f t="shared" si="0"/>
        <v>1800</v>
      </c>
      <c r="G24" s="40"/>
      <c r="H24" s="40">
        <f t="shared" si="1"/>
        <v>1800</v>
      </c>
      <c r="I24" s="42"/>
      <c r="J24" s="40">
        <f t="shared" si="2"/>
        <v>1800</v>
      </c>
      <c r="K24" s="40"/>
      <c r="L24" s="40">
        <f t="shared" si="3"/>
        <v>1800</v>
      </c>
      <c r="M24" s="40"/>
      <c r="N24" s="40">
        <f t="shared" si="4"/>
        <v>1800</v>
      </c>
      <c r="O24" s="40"/>
      <c r="P24" s="64">
        <f t="shared" si="5"/>
        <v>9000</v>
      </c>
      <c r="Q24" s="34"/>
      <c r="R24" s="30"/>
    </row>
    <row r="25" spans="2:18" x14ac:dyDescent="0.2">
      <c r="B25" s="5" t="s">
        <v>60</v>
      </c>
      <c r="C25" s="73">
        <f>'Slide  Fill this in '!C25</f>
        <v>84</v>
      </c>
      <c r="E25" s="33" t="str">
        <f t="shared" si="0"/>
        <v>Body Corp</v>
      </c>
      <c r="F25" s="40">
        <f t="shared" si="0"/>
        <v>5000</v>
      </c>
      <c r="G25" s="40"/>
      <c r="H25" s="40">
        <f t="shared" si="1"/>
        <v>5000</v>
      </c>
      <c r="I25" s="42"/>
      <c r="J25" s="40">
        <f t="shared" si="2"/>
        <v>5000</v>
      </c>
      <c r="K25" s="40"/>
      <c r="L25" s="40">
        <f t="shared" si="3"/>
        <v>5000</v>
      </c>
      <c r="M25" s="40"/>
      <c r="N25" s="40">
        <f t="shared" si="4"/>
        <v>5000</v>
      </c>
      <c r="O25" s="40"/>
      <c r="P25" s="64">
        <f t="shared" si="5"/>
        <v>25000</v>
      </c>
      <c r="Q25" s="34"/>
      <c r="R25" s="30"/>
    </row>
    <row r="26" spans="2:18" x14ac:dyDescent="0.2">
      <c r="B26" s="5" t="s">
        <v>14</v>
      </c>
      <c r="C26" s="73">
        <f>'Slide  Fill this in '!C26</f>
        <v>161</v>
      </c>
      <c r="E26" s="33" t="s">
        <v>51</v>
      </c>
      <c r="F26" s="40">
        <f>C31</f>
        <v>0</v>
      </c>
      <c r="G26" s="40"/>
      <c r="H26" s="40">
        <f t="shared" si="1"/>
        <v>0</v>
      </c>
      <c r="I26" s="42"/>
      <c r="J26" s="40">
        <f t="shared" si="2"/>
        <v>0</v>
      </c>
      <c r="K26" s="40"/>
      <c r="L26" s="40">
        <f t="shared" si="3"/>
        <v>0</v>
      </c>
      <c r="M26" s="40"/>
      <c r="N26" s="40">
        <f t="shared" si="4"/>
        <v>0</v>
      </c>
      <c r="O26" s="40"/>
      <c r="P26" s="64">
        <f t="shared" si="5"/>
        <v>0</v>
      </c>
      <c r="Q26" s="34"/>
      <c r="R26" s="30"/>
    </row>
    <row r="27" spans="2:18" x14ac:dyDescent="0.2">
      <c r="B27" s="5" t="s">
        <v>13</v>
      </c>
      <c r="C27" s="73">
        <f>'Slide  Fill this in '!C27</f>
        <v>210</v>
      </c>
      <c r="E27" s="33" t="s">
        <v>8</v>
      </c>
      <c r="F27" s="40">
        <f>C14*C15</f>
        <v>26425.000000000004</v>
      </c>
      <c r="G27" s="40"/>
      <c r="H27" s="40">
        <f>F27</f>
        <v>26425.000000000004</v>
      </c>
      <c r="I27" s="42"/>
      <c r="J27" s="40">
        <f>H27</f>
        <v>26425.000000000004</v>
      </c>
      <c r="K27" s="40"/>
      <c r="L27" s="40">
        <f>J27</f>
        <v>26425.000000000004</v>
      </c>
      <c r="M27" s="40"/>
      <c r="N27" s="40">
        <f>L27</f>
        <v>26425.000000000004</v>
      </c>
      <c r="O27" s="40"/>
      <c r="P27" s="64">
        <f>SUM(F27:N27)</f>
        <v>132125.00000000003</v>
      </c>
      <c r="Q27" s="34"/>
      <c r="R27" s="30"/>
    </row>
    <row r="28" spans="2:18" x14ac:dyDescent="0.2">
      <c r="B28" s="5" t="s">
        <v>12</v>
      </c>
      <c r="C28" s="73">
        <f>'Slide  Fill this in '!C28</f>
        <v>1900</v>
      </c>
      <c r="E28" s="33" t="s">
        <v>58</v>
      </c>
      <c r="F28" s="40">
        <f>-(F27*F13)</f>
        <v>-3303.1250000000005</v>
      </c>
      <c r="G28" s="40"/>
      <c r="H28" s="40">
        <f>-(H27*H13)</f>
        <v>-6606.2500000000009</v>
      </c>
      <c r="I28" s="42"/>
      <c r="J28" s="40">
        <f>-(J27*J13)</f>
        <v>-13212.500000000002</v>
      </c>
      <c r="K28" s="40"/>
      <c r="L28" s="40">
        <f>-(L27*L13)</f>
        <v>-6606.2500000000009</v>
      </c>
      <c r="M28" s="40"/>
      <c r="N28" s="40">
        <f>-(N27*N13)</f>
        <v>0</v>
      </c>
      <c r="O28" s="40"/>
      <c r="P28" s="64">
        <f>SUM(F28:N28)</f>
        <v>-29728.125000000004</v>
      </c>
      <c r="Q28" s="34"/>
      <c r="R28" s="30"/>
    </row>
    <row r="29" spans="2:18" x14ac:dyDescent="0.2">
      <c r="B29" s="5" t="s">
        <v>11</v>
      </c>
      <c r="C29" s="73">
        <f>'Slide  Fill this in '!C29</f>
        <v>1800</v>
      </c>
      <c r="E29" s="33"/>
      <c r="F29" s="40"/>
      <c r="G29" s="40"/>
      <c r="H29" s="40"/>
      <c r="I29" s="42"/>
      <c r="J29" s="40"/>
      <c r="K29" s="40"/>
      <c r="L29" s="40"/>
      <c r="M29" s="40"/>
      <c r="N29" s="40"/>
      <c r="O29" s="40"/>
      <c r="P29" s="64"/>
      <c r="Q29" s="34"/>
      <c r="R29" s="30"/>
    </row>
    <row r="30" spans="2:18" x14ac:dyDescent="0.2">
      <c r="B30" s="5" t="s">
        <v>10</v>
      </c>
      <c r="C30" s="73">
        <f>'Slide  Fill this in '!C30</f>
        <v>5000</v>
      </c>
      <c r="E30" s="47" t="s">
        <v>52</v>
      </c>
      <c r="F30" s="65">
        <f>SUM(F15:F16)-SUM(F18:F27)</f>
        <v>-2119.6880000000019</v>
      </c>
      <c r="G30" s="65"/>
      <c r="H30" s="65">
        <f>SUM(H15:H16)-SUM(H18:H27)</f>
        <v>-273.68800000000192</v>
      </c>
      <c r="I30" s="66"/>
      <c r="J30" s="65">
        <f>SUM(J15:J16)-SUM(J18:J27)</f>
        <v>1664.612000000001</v>
      </c>
      <c r="K30" s="65"/>
      <c r="L30" s="65">
        <f>SUM(L15:L16)-SUM(L18:L27)</f>
        <v>3699.8269999999975</v>
      </c>
      <c r="M30" s="65"/>
      <c r="N30" s="65">
        <f>SUM(N15:N16)-SUM(N18:N27)</f>
        <v>5836.8027499999953</v>
      </c>
      <c r="O30" s="65"/>
      <c r="P30" s="67">
        <f>SUM(P15:P16)-SUM(P18:P27)</f>
        <v>8807.8657499999681</v>
      </c>
      <c r="Q30" s="34"/>
      <c r="R30" s="30"/>
    </row>
    <row r="31" spans="2:18" ht="17" thickBot="1" x14ac:dyDescent="0.25">
      <c r="B31" s="3" t="s">
        <v>9</v>
      </c>
      <c r="C31" s="76">
        <f>'Slide  Fill this in '!C31</f>
        <v>0</v>
      </c>
      <c r="E31" s="33" t="s">
        <v>57</v>
      </c>
      <c r="F31" s="40">
        <f>F15+F16-SUM(F18:F27)-F28</f>
        <v>1183.4369999999985</v>
      </c>
      <c r="G31" s="40"/>
      <c r="H31" s="40">
        <f>H15+H16-SUM(H18:H27)-H28</f>
        <v>6332.561999999999</v>
      </c>
      <c r="I31" s="42"/>
      <c r="J31" s="40">
        <f>J15+J16-SUM(J18:J27)-J28</f>
        <v>14877.112000000003</v>
      </c>
      <c r="K31" s="40"/>
      <c r="L31" s="40">
        <f>L15+L16-SUM(L18:L27)-L28</f>
        <v>10306.076999999997</v>
      </c>
      <c r="M31" s="40"/>
      <c r="N31" s="40">
        <f>N15+N16-SUM(N18:N27)-N28</f>
        <v>5836.8027499999953</v>
      </c>
      <c r="O31" s="40"/>
      <c r="P31" s="64">
        <f>SUM(F31:N31)</f>
        <v>38535.990749999997</v>
      </c>
      <c r="Q31" s="34"/>
      <c r="R31" s="30"/>
    </row>
    <row r="32" spans="2:18" x14ac:dyDescent="0.2">
      <c r="E32" s="27"/>
      <c r="F32" s="68"/>
      <c r="G32" s="68"/>
      <c r="H32" s="68"/>
      <c r="I32" s="69"/>
      <c r="J32" s="68"/>
      <c r="K32" s="68"/>
      <c r="L32" s="68"/>
      <c r="M32" s="68"/>
      <c r="N32" s="68"/>
      <c r="O32" s="68"/>
      <c r="P32" s="70"/>
      <c r="R32" s="30"/>
    </row>
    <row r="33" spans="5:18" x14ac:dyDescent="0.2">
      <c r="E33" s="33" t="s">
        <v>7</v>
      </c>
      <c r="F33" s="40">
        <f>F31*0.28</f>
        <v>331.36235999999963</v>
      </c>
      <c r="G33" s="40"/>
      <c r="H33" s="40">
        <f>H31*0.28</f>
        <v>1773.11736</v>
      </c>
      <c r="I33" s="42"/>
      <c r="J33" s="40">
        <f>J31*0.28</f>
        <v>4165.5913600000013</v>
      </c>
      <c r="K33" s="40"/>
      <c r="L33" s="40">
        <f>L31*0.28</f>
        <v>2885.7015599999995</v>
      </c>
      <c r="M33" s="40"/>
      <c r="N33" s="40">
        <f>N31*0.28</f>
        <v>1634.3047699999988</v>
      </c>
      <c r="O33" s="40"/>
      <c r="P33" s="64">
        <f>SUM(F33:N33)</f>
        <v>10790.077409999998</v>
      </c>
      <c r="Q33" s="34"/>
      <c r="R33" s="30"/>
    </row>
    <row r="34" spans="5:18" x14ac:dyDescent="0.2">
      <c r="E34" s="33"/>
      <c r="F34" s="40"/>
      <c r="G34" s="40"/>
      <c r="H34" s="40"/>
      <c r="I34" s="42"/>
      <c r="J34" s="40"/>
      <c r="K34" s="40"/>
      <c r="L34" s="40"/>
      <c r="M34" s="40"/>
      <c r="N34" s="40"/>
      <c r="O34" s="40"/>
      <c r="P34" s="64"/>
      <c r="Q34" s="34"/>
      <c r="R34" s="30"/>
    </row>
    <row r="35" spans="5:18" x14ac:dyDescent="0.2">
      <c r="E35" s="33" t="s">
        <v>53</v>
      </c>
      <c r="F35" s="40">
        <f>SUM(F15:F16)-SUM(F18:F25)-F27-F33</f>
        <v>-2451.0503600000052</v>
      </c>
      <c r="G35" s="40"/>
      <c r="H35" s="40">
        <f>SUM(H15:H16)-SUM(H18:H25)-H27-H33</f>
        <v>-2046.8053600000055</v>
      </c>
      <c r="I35" s="42"/>
      <c r="J35" s="40">
        <f>SUM(J15:J16)-SUM(J18:J25)-J27-J33</f>
        <v>-2500.9793600000039</v>
      </c>
      <c r="K35" s="40"/>
      <c r="L35" s="40">
        <f>SUM(L15:L16)-SUM(L18:L25)-L27-L33</f>
        <v>814.12543999999434</v>
      </c>
      <c r="M35" s="40"/>
      <c r="N35" s="40">
        <f>SUM(N15:N16)-SUM(N18:N25)-N27-N33</f>
        <v>4202.4979799999928</v>
      </c>
      <c r="O35" s="40"/>
      <c r="P35" s="64">
        <f>SUM(F35:N35)</f>
        <v>-1982.2116600000272</v>
      </c>
      <c r="Q35" s="34"/>
      <c r="R35" s="30"/>
    </row>
    <row r="36" spans="5:18" x14ac:dyDescent="0.2">
      <c r="E36" s="33"/>
      <c r="F36" s="40"/>
      <c r="G36" s="40"/>
      <c r="H36" s="40"/>
      <c r="I36" s="42"/>
      <c r="J36" s="40"/>
      <c r="K36" s="40"/>
      <c r="L36" s="40"/>
      <c r="M36" s="40"/>
      <c r="N36" s="40"/>
      <c r="O36" s="40"/>
      <c r="P36" s="70"/>
      <c r="R36" s="30"/>
    </row>
    <row r="37" spans="5:18" x14ac:dyDescent="0.2">
      <c r="E37" s="33"/>
      <c r="F37" s="40"/>
      <c r="G37" s="40"/>
      <c r="H37" s="40"/>
      <c r="I37" s="42"/>
      <c r="J37" s="40"/>
      <c r="K37" s="40"/>
      <c r="L37" s="40"/>
      <c r="M37" s="40"/>
      <c r="N37" s="40"/>
      <c r="O37" s="40"/>
      <c r="P37" s="64"/>
      <c r="Q37" s="34"/>
      <c r="R37" s="30"/>
    </row>
    <row r="38" spans="5:18" x14ac:dyDescent="0.2">
      <c r="E38" s="33" t="s">
        <v>6</v>
      </c>
      <c r="F38" s="40"/>
      <c r="G38" s="40"/>
      <c r="H38" s="40"/>
      <c r="I38" s="42"/>
      <c r="J38" s="40"/>
      <c r="K38" s="40"/>
      <c r="L38" s="40"/>
      <c r="M38" s="40"/>
      <c r="N38" s="40"/>
      <c r="O38" s="40"/>
      <c r="P38" s="64"/>
      <c r="Q38" s="34"/>
      <c r="R38" s="30"/>
    </row>
    <row r="39" spans="5:18" x14ac:dyDescent="0.2">
      <c r="E39" s="41" t="s">
        <v>5</v>
      </c>
      <c r="F39" s="20">
        <f>C12</f>
        <v>1125000</v>
      </c>
      <c r="G39" s="20"/>
      <c r="H39" s="20">
        <f>F39+F40</f>
        <v>1147500</v>
      </c>
      <c r="I39" s="22"/>
      <c r="J39" s="20">
        <f>H39+H40</f>
        <v>1170450</v>
      </c>
      <c r="K39" s="20"/>
      <c r="L39" s="20">
        <f>J39+J40</f>
        <v>1193859</v>
      </c>
      <c r="M39" s="20"/>
      <c r="N39" s="20">
        <f>L39+L40</f>
        <v>1217736.18</v>
      </c>
      <c r="O39" s="20"/>
      <c r="P39" s="71">
        <f>N39+N40</f>
        <v>1242090.9035999998</v>
      </c>
      <c r="Q39" s="34"/>
      <c r="R39" s="61"/>
    </row>
    <row r="40" spans="5:18" x14ac:dyDescent="0.2">
      <c r="E40" s="33" t="s">
        <v>59</v>
      </c>
      <c r="F40" s="40">
        <f>F39*$C$13</f>
        <v>22500</v>
      </c>
      <c r="G40" s="40"/>
      <c r="H40" s="40">
        <f>H39*$C$13</f>
        <v>22950</v>
      </c>
      <c r="I40" s="42"/>
      <c r="J40" s="40">
        <f>J39*$C$13</f>
        <v>23409</v>
      </c>
      <c r="K40" s="40"/>
      <c r="L40" s="40">
        <f>L39*$C$13</f>
        <v>23877.18</v>
      </c>
      <c r="M40" s="40"/>
      <c r="N40" s="40">
        <f>N39*$C$13</f>
        <v>24354.723599999998</v>
      </c>
      <c r="O40" s="40"/>
      <c r="P40" s="64">
        <f>SUM(F40:N40)</f>
        <v>117090.90359999999</v>
      </c>
      <c r="Q40" s="34"/>
      <c r="R40" s="30"/>
    </row>
    <row r="41" spans="5:18" x14ac:dyDescent="0.2">
      <c r="E41" s="33"/>
      <c r="F41" s="34"/>
      <c r="G41" s="34"/>
      <c r="H41" s="34"/>
      <c r="I41" s="35"/>
      <c r="J41" s="34"/>
      <c r="K41" s="34"/>
      <c r="L41" s="34"/>
      <c r="M41" s="34"/>
      <c r="N41" s="34"/>
      <c r="O41" s="34"/>
      <c r="P41" s="60"/>
      <c r="Q41" s="34"/>
      <c r="R41" s="30"/>
    </row>
    <row r="42" spans="5:18" x14ac:dyDescent="0.2">
      <c r="E42" s="33"/>
      <c r="F42" s="34"/>
      <c r="G42" s="34"/>
      <c r="H42" s="34"/>
      <c r="I42" s="35"/>
      <c r="J42" s="34"/>
      <c r="K42" s="34"/>
      <c r="L42" s="34"/>
      <c r="M42" s="34"/>
      <c r="N42" s="34"/>
      <c r="O42" s="34"/>
      <c r="P42" s="28"/>
    </row>
    <row r="43" spans="5:18" x14ac:dyDescent="0.2">
      <c r="E43" s="33" t="s">
        <v>2</v>
      </c>
      <c r="F43" s="40">
        <f>((F39+F40)-$C$8)*0.28</f>
        <v>47320.000000000007</v>
      </c>
      <c r="G43" s="34"/>
      <c r="H43" s="40">
        <f>((H39+H40)-$C$8)*0.28</f>
        <v>53746.000000000007</v>
      </c>
      <c r="I43" s="35"/>
      <c r="J43" s="40">
        <f>((J39+J40)-$C$8)*0.28</f>
        <v>60300.520000000004</v>
      </c>
      <c r="K43" s="34"/>
      <c r="L43" s="40">
        <v>0</v>
      </c>
      <c r="M43" s="34"/>
      <c r="N43" s="40">
        <v>0</v>
      </c>
      <c r="O43" s="34"/>
      <c r="P43" s="28"/>
    </row>
    <row r="44" spans="5:18" x14ac:dyDescent="0.2">
      <c r="E44" s="33"/>
      <c r="F44" s="34"/>
      <c r="G44" s="34"/>
      <c r="H44" s="34"/>
      <c r="I44" s="35"/>
      <c r="J44" s="34"/>
      <c r="K44" s="34"/>
      <c r="L44" s="34"/>
      <c r="M44" s="34"/>
      <c r="N44" s="34"/>
      <c r="O44" s="34"/>
      <c r="P44" s="28"/>
    </row>
    <row r="45" spans="5:18" x14ac:dyDescent="0.2">
      <c r="E45" s="33"/>
      <c r="F45" s="40"/>
      <c r="G45" s="34"/>
      <c r="H45" s="40"/>
      <c r="I45" s="35"/>
      <c r="J45" s="40"/>
      <c r="K45" s="34"/>
      <c r="L45" s="40"/>
      <c r="M45" s="34"/>
      <c r="N45" s="40"/>
      <c r="O45" s="34"/>
      <c r="P45" s="28"/>
    </row>
    <row r="46" spans="5:18" x14ac:dyDescent="0.2">
      <c r="E46" s="41"/>
      <c r="F46" s="20"/>
      <c r="G46" s="19"/>
      <c r="H46" s="20"/>
      <c r="I46" s="51"/>
      <c r="J46" s="20"/>
      <c r="K46" s="19"/>
      <c r="L46" s="20"/>
      <c r="M46" s="19"/>
      <c r="N46" s="20"/>
      <c r="O46" s="19"/>
      <c r="P46" s="43"/>
    </row>
    <row r="48" spans="5:18" x14ac:dyDescent="0.2">
      <c r="P48" s="23"/>
      <c r="Q48" s="24"/>
      <c r="R48" s="55"/>
    </row>
    <row r="49" spans="16:18" x14ac:dyDescent="0.2">
      <c r="P49" s="56"/>
      <c r="Q49" s="34"/>
      <c r="R49" s="32"/>
    </row>
    <row r="50" spans="16:18" x14ac:dyDescent="0.2">
      <c r="P50" s="57"/>
      <c r="Q50" s="34"/>
      <c r="R50" s="32"/>
    </row>
    <row r="51" spans="16:18" x14ac:dyDescent="0.2">
      <c r="P51" s="58"/>
      <c r="Q51" s="34"/>
      <c r="R51" s="32"/>
    </row>
    <row r="52" spans="16:18" x14ac:dyDescent="0.2">
      <c r="P52" s="59"/>
      <c r="Q52" s="19"/>
      <c r="R52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1469F-D9F9-C040-8DE0-90DCC9CB5A5D}">
  <dimension ref="B2:G9"/>
  <sheetViews>
    <sheetView tabSelected="1" workbookViewId="0">
      <selection activeCell="E6" sqref="E6:E7"/>
    </sheetView>
  </sheetViews>
  <sheetFormatPr baseColWidth="10" defaultRowHeight="16" x14ac:dyDescent="0.2"/>
  <cols>
    <col min="2" max="2" width="8.83203125" customWidth="1"/>
    <col min="3" max="3" width="8" customWidth="1"/>
    <col min="5" max="5" width="11.1640625" customWidth="1"/>
    <col min="6" max="6" width="3.33203125" customWidth="1"/>
    <col min="7" max="7" width="11.6640625" bestFit="1" customWidth="1"/>
  </cols>
  <sheetData>
    <row r="2" spans="2:7" ht="17" thickBot="1" x14ac:dyDescent="0.25"/>
    <row r="3" spans="2:7" x14ac:dyDescent="0.2">
      <c r="B3" s="81" t="s">
        <v>63</v>
      </c>
      <c r="C3" s="82"/>
      <c r="D3" s="83" t="s">
        <v>64</v>
      </c>
      <c r="E3" s="83" t="s">
        <v>65</v>
      </c>
      <c r="F3" s="83"/>
      <c r="G3" s="84" t="s">
        <v>69</v>
      </c>
    </row>
    <row r="4" spans="2:7" x14ac:dyDescent="0.2">
      <c r="B4" s="77"/>
      <c r="C4" s="78"/>
      <c r="D4" s="85"/>
      <c r="E4" s="85"/>
      <c r="F4" s="85"/>
      <c r="G4" s="86"/>
    </row>
    <row r="5" spans="2:7" x14ac:dyDescent="0.2">
      <c r="B5" s="77" t="s">
        <v>66</v>
      </c>
      <c r="C5" s="78"/>
      <c r="D5" s="87">
        <f>'Slide  Fill this in '!J33</f>
        <v>4165.5913600000013</v>
      </c>
      <c r="E5" s="87">
        <f>'Post Election '!J33</f>
        <v>4165.5913600000013</v>
      </c>
      <c r="F5" s="85"/>
      <c r="G5" s="88">
        <f>D5-E5</f>
        <v>0</v>
      </c>
    </row>
    <row r="6" spans="2:7" x14ac:dyDescent="0.2">
      <c r="B6" s="77" t="s">
        <v>67</v>
      </c>
      <c r="C6" s="78"/>
      <c r="D6" s="87">
        <f>'Slide  Fill this in '!L33</f>
        <v>6585.2015600000013</v>
      </c>
      <c r="E6" s="87">
        <f>'Post Election '!L33</f>
        <v>2885.7015599999995</v>
      </c>
      <c r="F6" s="85"/>
      <c r="G6" s="88">
        <f>D6-E6</f>
        <v>3699.5000000000018</v>
      </c>
    </row>
    <row r="7" spans="2:7" x14ac:dyDescent="0.2">
      <c r="B7" s="77" t="s">
        <v>68</v>
      </c>
      <c r="C7" s="78"/>
      <c r="D7" s="87">
        <f>'Slide  Fill this in '!N33</f>
        <v>9033.3047700000006</v>
      </c>
      <c r="E7" s="87">
        <f>'Post Election '!N33</f>
        <v>1634.3047699999988</v>
      </c>
      <c r="F7" s="85"/>
      <c r="G7" s="88">
        <f>D7-E7</f>
        <v>7399.0000000000018</v>
      </c>
    </row>
    <row r="8" spans="2:7" x14ac:dyDescent="0.2">
      <c r="B8" s="77"/>
      <c r="C8" s="78"/>
      <c r="D8" s="85"/>
      <c r="E8" s="85"/>
      <c r="F8" s="85"/>
      <c r="G8" s="86"/>
    </row>
    <row r="9" spans="2:7" ht="18" thickBot="1" x14ac:dyDescent="0.25">
      <c r="B9" s="79"/>
      <c r="C9" s="80"/>
      <c r="D9" s="91">
        <f>SUM(D5:D7)</f>
        <v>19784.097690000002</v>
      </c>
      <c r="E9" s="91">
        <f>SUM(E5:E7)</f>
        <v>8685.5976899999987</v>
      </c>
      <c r="F9" s="89"/>
      <c r="G9" s="90">
        <f>SUM(G5:G7)</f>
        <v>11098.500000000004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Slide  Fill this in </vt:lpstr>
      <vt:lpstr>Post Election 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Mike Atkinson</cp:lastModifiedBy>
  <dcterms:created xsi:type="dcterms:W3CDTF">2021-04-19T06:54:19Z</dcterms:created>
  <dcterms:modified xsi:type="dcterms:W3CDTF">2023-10-18T19:52:43Z</dcterms:modified>
</cp:coreProperties>
</file>